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973" firstSheet="5" activeTab="20"/>
  </bookViews>
  <sheets>
    <sheet name="🏠 Start" sheetId="1" r:id="rId1"/>
    <sheet name="⚙️ Einstellungen" sheetId="2" r:id="rId2"/>
    <sheet name="👥 Mitarbeiter" sheetId="3" r:id="rId3"/>
    <sheet name="🎓 Skills" sheetId="4" r:id="rId4"/>
    <sheet name="🚗 Ressourcen" sheetId="5" r:id="rId5"/>
    <sheet name="📅 Feiertage" sheetId="6" r:id="rId6"/>
    <sheet name="📝 Wünsche" sheetId="7" r:id="rId7"/>
    <sheet name="🚫 Abwesenheiten" sheetId="8" r:id="rId8"/>
    <sheet name="📋 Plan Monat" sheetId="9" r:id="rId9"/>
    <sheet name="🔄 Plan Woche" sheetId="10" r:id="rId10"/>
    <sheet name="✅ Compliance" sheetId="11" r:id="rId11"/>
    <sheet name="🏥 Stationen" sheetId="12" r:id="rId12"/>
    <sheet name="🔢 PpUGV Live-Check" sheetId="13" r:id="rId13"/>
    <sheet name="📐 PPBV (PPR 2.0)" sheetId="14" r:id="rId14"/>
    <sheet name="💉 Bereitschaft" sheetId="15" r:id="rId15"/>
    <sheet name="💶 TVöD-P Zulagen" sheetId="16" r:id="rId16"/>
    <sheet name="🩺 Med. Untersuchung" sheetId="17" r:id="rId17"/>
    <sheet name="📊 KPI" sheetId="18" r:id="rId18"/>
    <sheet name="💰 Kosten" sheetId="19" r:id="rId19"/>
    <sheet name="📄 Aushang" sheetId="20" r:id="rId20"/>
    <sheet name="🕒 Audit-Trail" sheetId="21" r:id="rId21"/>
  </sheets>
  <definedNames>
    <definedName name="_xlnm.Print_Titles" localSheetId="19">'📄 Aushang'!$6:$6</definedName>
    <definedName name="Feiertage_Liste">'📅 Feiertage'!$A$6:$A$23</definedName>
    <definedName name="MA_Liste">'👥 Mitarbeiter'!$A$7:$A$106</definedName>
    <definedName name="MA_Namen">'👥 Mitarbeiter'!$B$7:$C$106</definedName>
    <definedName name="Plan_Bereich">'📋 Plan Monat'!$C$7:$AG$16</definedName>
    <definedName name="Schicht_Codes">'⚙️ Einstellungen'!$A$52:$A$66</definedName>
    <definedName name="Stationen_Lookup">'🔢 PpUGV Live-Check'!$A$32:$D$51</definedName>
  </definedNames>
  <calcPr calcId="145621"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B16" i="20" l="1"/>
  <c r="A16" i="20"/>
  <c r="B15" i="20"/>
  <c r="A15" i="20"/>
  <c r="B14" i="20"/>
  <c r="A14" i="20"/>
  <c r="B13" i="20"/>
  <c r="A13" i="20"/>
  <c r="B12" i="20"/>
  <c r="A12" i="20"/>
  <c r="B11" i="20"/>
  <c r="A11" i="20"/>
  <c r="B10" i="20"/>
  <c r="A10" i="20"/>
  <c r="B9" i="20"/>
  <c r="A9" i="20"/>
  <c r="B8" i="20"/>
  <c r="A8" i="20"/>
  <c r="B7" i="20"/>
  <c r="A7" i="20"/>
  <c r="E4" i="20"/>
  <c r="C6" i="20" s="1"/>
  <c r="A16" i="19"/>
  <c r="A15" i="19"/>
  <c r="A14" i="19"/>
  <c r="A13" i="19"/>
  <c r="A12" i="19"/>
  <c r="A11" i="19"/>
  <c r="A10" i="19"/>
  <c r="A9" i="19"/>
  <c r="A8" i="19"/>
  <c r="A7" i="19"/>
  <c r="D27" i="18"/>
  <c r="B27" i="18"/>
  <c r="A27" i="18"/>
  <c r="D26" i="18"/>
  <c r="B26" i="18"/>
  <c r="A26" i="18"/>
  <c r="D25" i="18"/>
  <c r="B25" i="18"/>
  <c r="A25" i="18"/>
  <c r="D24" i="18"/>
  <c r="B24" i="18"/>
  <c r="A24" i="18"/>
  <c r="D23" i="18"/>
  <c r="B23" i="18"/>
  <c r="A23" i="18"/>
  <c r="D22" i="18"/>
  <c r="B22" i="18"/>
  <c r="A22" i="18"/>
  <c r="D21" i="18"/>
  <c r="B21" i="18"/>
  <c r="A21" i="18"/>
  <c r="D20" i="18"/>
  <c r="B20" i="18"/>
  <c r="A20" i="18"/>
  <c r="D19" i="18"/>
  <c r="B19" i="18"/>
  <c r="A19" i="18"/>
  <c r="D18" i="18"/>
  <c r="B18" i="18"/>
  <c r="A18" i="18"/>
  <c r="E12" i="18"/>
  <c r="A12" i="18"/>
  <c r="D15" i="17"/>
  <c r="B15" i="17"/>
  <c r="A15" i="17"/>
  <c r="G14" i="17"/>
  <c r="F14" i="17"/>
  <c r="D14" i="17"/>
  <c r="B14" i="17"/>
  <c r="A14" i="17"/>
  <c r="D13" i="17"/>
  <c r="B13" i="17"/>
  <c r="A13" i="17"/>
  <c r="F12" i="17"/>
  <c r="G12" i="17" s="1"/>
  <c r="D12" i="17"/>
  <c r="B12" i="17"/>
  <c r="A12" i="17"/>
  <c r="D11" i="17"/>
  <c r="B11" i="17"/>
  <c r="A11" i="17"/>
  <c r="G10" i="17"/>
  <c r="F10" i="17"/>
  <c r="D10" i="17"/>
  <c r="B10" i="17"/>
  <c r="A10" i="17"/>
  <c r="D9" i="17"/>
  <c r="B9" i="17"/>
  <c r="A9" i="17"/>
  <c r="F8" i="17"/>
  <c r="G8" i="17" s="1"/>
  <c r="D8" i="17"/>
  <c r="B8" i="17"/>
  <c r="A8" i="17"/>
  <c r="D7" i="17"/>
  <c r="B7" i="17"/>
  <c r="A7" i="17"/>
  <c r="D6" i="17"/>
  <c r="B6" i="17"/>
  <c r="A6" i="17"/>
  <c r="B15" i="16"/>
  <c r="A15" i="16"/>
  <c r="B14" i="16"/>
  <c r="A14" i="16"/>
  <c r="B13" i="16"/>
  <c r="A13" i="16"/>
  <c r="B12" i="16"/>
  <c r="A12" i="16"/>
  <c r="B11" i="16"/>
  <c r="A11" i="16"/>
  <c r="B10" i="16"/>
  <c r="A10" i="16"/>
  <c r="B9" i="16"/>
  <c r="A9" i="16"/>
  <c r="B8" i="16"/>
  <c r="A8" i="16"/>
  <c r="B7" i="16"/>
  <c r="A7" i="16"/>
  <c r="B6" i="16"/>
  <c r="A6" i="16"/>
  <c r="G7" i="15"/>
  <c r="G6" i="15"/>
  <c r="G8" i="14"/>
  <c r="I8" i="14" s="1"/>
  <c r="H7" i="14"/>
  <c r="I7" i="14" s="1"/>
  <c r="G7" i="14"/>
  <c r="I6" i="14"/>
  <c r="H6" i="14"/>
  <c r="G6" i="14"/>
  <c r="H8" i="14" s="1"/>
  <c r="E51" i="13"/>
  <c r="D51" i="13"/>
  <c r="C51" i="13"/>
  <c r="B51" i="13"/>
  <c r="A51" i="13"/>
  <c r="E50" i="13"/>
  <c r="D50" i="13"/>
  <c r="C50" i="13"/>
  <c r="B50" i="13"/>
  <c r="A50" i="13"/>
  <c r="E49" i="13"/>
  <c r="D49" i="13"/>
  <c r="C49" i="13"/>
  <c r="B49" i="13"/>
  <c r="A49" i="13"/>
  <c r="E48" i="13"/>
  <c r="D48" i="13"/>
  <c r="C48" i="13"/>
  <c r="B48" i="13"/>
  <c r="A48" i="13"/>
  <c r="E47" i="13"/>
  <c r="D47" i="13"/>
  <c r="C47" i="13"/>
  <c r="B47" i="13"/>
  <c r="A47" i="13"/>
  <c r="E46" i="13"/>
  <c r="D46" i="13"/>
  <c r="C46" i="13"/>
  <c r="B46" i="13"/>
  <c r="A46" i="13"/>
  <c r="E45" i="13"/>
  <c r="D45" i="13"/>
  <c r="C45" i="13"/>
  <c r="B45" i="13"/>
  <c r="A45" i="13"/>
  <c r="E44" i="13"/>
  <c r="D44" i="13"/>
  <c r="C44" i="13"/>
  <c r="B44" i="13"/>
  <c r="A44" i="13"/>
  <c r="E43" i="13"/>
  <c r="D43" i="13"/>
  <c r="C43" i="13"/>
  <c r="B43" i="13"/>
  <c r="A43" i="13"/>
  <c r="E42" i="13"/>
  <c r="D42" i="13"/>
  <c r="C42" i="13"/>
  <c r="B42" i="13"/>
  <c r="A42" i="13"/>
  <c r="E41" i="13"/>
  <c r="D41" i="13"/>
  <c r="C41" i="13"/>
  <c r="B41" i="13"/>
  <c r="A41" i="13"/>
  <c r="E40" i="13"/>
  <c r="D40" i="13"/>
  <c r="C40" i="13"/>
  <c r="B40" i="13"/>
  <c r="A40" i="13"/>
  <c r="E39" i="13"/>
  <c r="D39" i="13"/>
  <c r="C39" i="13"/>
  <c r="B39" i="13"/>
  <c r="A39" i="13"/>
  <c r="E38" i="13"/>
  <c r="D38" i="13"/>
  <c r="C38" i="13"/>
  <c r="B38" i="13"/>
  <c r="A38" i="13"/>
  <c r="E37" i="13"/>
  <c r="D37" i="13"/>
  <c r="C37" i="13"/>
  <c r="B37" i="13"/>
  <c r="A37" i="13"/>
  <c r="E36" i="13"/>
  <c r="D36" i="13"/>
  <c r="C36" i="13"/>
  <c r="B36" i="13"/>
  <c r="A36" i="13"/>
  <c r="E35" i="13"/>
  <c r="D35" i="13"/>
  <c r="C35" i="13"/>
  <c r="B35" i="13"/>
  <c r="A35" i="13"/>
  <c r="E34" i="13"/>
  <c r="D34" i="13"/>
  <c r="C34" i="13"/>
  <c r="B34" i="13"/>
  <c r="A34" i="13"/>
  <c r="E33" i="13"/>
  <c r="D33" i="13"/>
  <c r="C33" i="13"/>
  <c r="B33" i="13"/>
  <c r="A33" i="13"/>
  <c r="E32" i="13"/>
  <c r="D32" i="13"/>
  <c r="C32" i="13"/>
  <c r="B32" i="13"/>
  <c r="A32" i="13"/>
  <c r="K12" i="13" s="1"/>
  <c r="J12" i="13"/>
  <c r="G12" i="13"/>
  <c r="J11" i="13"/>
  <c r="K11" i="13" s="1"/>
  <c r="G11" i="13"/>
  <c r="J10" i="13"/>
  <c r="K10" i="13" s="1"/>
  <c r="G10" i="13"/>
  <c r="K9" i="13"/>
  <c r="J9" i="13"/>
  <c r="G9" i="13"/>
  <c r="J8" i="13"/>
  <c r="K8" i="13" s="1"/>
  <c r="H8" i="13"/>
  <c r="I8" i="13" s="1"/>
  <c r="G8" i="13"/>
  <c r="J7" i="13"/>
  <c r="K7" i="13" s="1"/>
  <c r="G7" i="13"/>
  <c r="J6" i="13"/>
  <c r="K6" i="13" s="1"/>
  <c r="G6" i="13"/>
  <c r="F26" i="11"/>
  <c r="D26" i="11"/>
  <c r="F24" i="11"/>
  <c r="D24" i="11"/>
  <c r="D22" i="11"/>
  <c r="F22" i="11" s="1"/>
  <c r="D21" i="11"/>
  <c r="F21" i="11" s="1"/>
  <c r="F20" i="11"/>
  <c r="D20" i="11"/>
  <c r="D18" i="11"/>
  <c r="F18" i="11" s="1"/>
  <c r="D17" i="11"/>
  <c r="F17" i="11" s="1"/>
  <c r="F16" i="11"/>
  <c r="D16" i="11"/>
  <c r="D15" i="11"/>
  <c r="F15" i="11" s="1"/>
  <c r="D14" i="11"/>
  <c r="F14" i="11" s="1"/>
  <c r="D13" i="11"/>
  <c r="F13" i="11" s="1"/>
  <c r="B15" i="10"/>
  <c r="A15" i="10"/>
  <c r="B14" i="10"/>
  <c r="A14" i="10"/>
  <c r="B13" i="10"/>
  <c r="A13" i="10"/>
  <c r="B12" i="10"/>
  <c r="A12" i="10"/>
  <c r="B11" i="10"/>
  <c r="A11" i="10"/>
  <c r="B10" i="10"/>
  <c r="A10" i="10"/>
  <c r="B9" i="10"/>
  <c r="A9" i="10"/>
  <c r="B8" i="10"/>
  <c r="A8" i="10"/>
  <c r="B7" i="10"/>
  <c r="A7" i="10"/>
  <c r="B6" i="10"/>
  <c r="A6" i="10"/>
  <c r="B4" i="10"/>
  <c r="H5" i="10" s="1"/>
  <c r="AF20" i="9"/>
  <c r="X20" i="9"/>
  <c r="P20" i="9"/>
  <c r="H20"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G18" i="9"/>
  <c r="AF18" i="9"/>
  <c r="AE18" i="9"/>
  <c r="AD18" i="9"/>
  <c r="AC18" i="9"/>
  <c r="AB18" i="9"/>
  <c r="AA18" i="9"/>
  <c r="AA20" i="9" s="1"/>
  <c r="Z18" i="9"/>
  <c r="Y18" i="9"/>
  <c r="X18" i="9"/>
  <c r="W18" i="9"/>
  <c r="V18" i="9"/>
  <c r="U18" i="9"/>
  <c r="T18" i="9"/>
  <c r="S18" i="9"/>
  <c r="S20" i="9" s="1"/>
  <c r="R18" i="9"/>
  <c r="Q18" i="9"/>
  <c r="P18" i="9"/>
  <c r="O18" i="9"/>
  <c r="N18" i="9"/>
  <c r="M18" i="9"/>
  <c r="L18" i="9"/>
  <c r="K18" i="9"/>
  <c r="K20" i="9" s="1"/>
  <c r="J18" i="9"/>
  <c r="I18" i="9"/>
  <c r="H18" i="9"/>
  <c r="G18" i="9"/>
  <c r="F18" i="9"/>
  <c r="E18" i="9"/>
  <c r="D18" i="9"/>
  <c r="C18" i="9"/>
  <c r="C20" i="9" s="1"/>
  <c r="AG17" i="9"/>
  <c r="AG20" i="9" s="1"/>
  <c r="AF17" i="9"/>
  <c r="AE17" i="9"/>
  <c r="AE20" i="9" s="1"/>
  <c r="AD17" i="9"/>
  <c r="AC17" i="9"/>
  <c r="AC20" i="9" s="1"/>
  <c r="AB17" i="9"/>
  <c r="AB20" i="9" s="1"/>
  <c r="AA17" i="9"/>
  <c r="Z17" i="9"/>
  <c r="Z20" i="9" s="1"/>
  <c r="Y17" i="9"/>
  <c r="Y20" i="9" s="1"/>
  <c r="X17" i="9"/>
  <c r="W17" i="9"/>
  <c r="W20" i="9" s="1"/>
  <c r="V17" i="9"/>
  <c r="U17" i="9"/>
  <c r="U20" i="9" s="1"/>
  <c r="T17" i="9"/>
  <c r="T20" i="9" s="1"/>
  <c r="S17" i="9"/>
  <c r="R17" i="9"/>
  <c r="R20" i="9" s="1"/>
  <c r="Q17" i="9"/>
  <c r="Q20" i="9" s="1"/>
  <c r="P17" i="9"/>
  <c r="O17" i="9"/>
  <c r="O20" i="9" s="1"/>
  <c r="N17" i="9"/>
  <c r="M17" i="9"/>
  <c r="M20" i="9" s="1"/>
  <c r="L17" i="9"/>
  <c r="L20" i="9" s="1"/>
  <c r="K17" i="9"/>
  <c r="J17" i="9"/>
  <c r="J20" i="9" s="1"/>
  <c r="I17" i="9"/>
  <c r="I20" i="9" s="1"/>
  <c r="H17" i="9"/>
  <c r="G17" i="9"/>
  <c r="G20" i="9" s="1"/>
  <c r="F17" i="9"/>
  <c r="E17" i="9"/>
  <c r="E20" i="9" s="1"/>
  <c r="D17" i="9"/>
  <c r="D20" i="9" s="1"/>
  <c r="C17" i="9"/>
  <c r="AN16" i="9"/>
  <c r="AM16" i="9"/>
  <c r="AK16" i="9"/>
  <c r="D16" i="19" s="1"/>
  <c r="AJ16" i="9"/>
  <c r="C16" i="19" s="1"/>
  <c r="AI16" i="9"/>
  <c r="B16" i="19" s="1"/>
  <c r="AH16" i="9"/>
  <c r="C27" i="18" s="1"/>
  <c r="E27" i="18" s="1"/>
  <c r="F27" i="18" s="1"/>
  <c r="B16" i="9"/>
  <c r="A16" i="9"/>
  <c r="AN15" i="9"/>
  <c r="AM15" i="9"/>
  <c r="AK15" i="9"/>
  <c r="D15" i="19" s="1"/>
  <c r="AJ15" i="9"/>
  <c r="C15" i="19" s="1"/>
  <c r="AI15" i="9"/>
  <c r="B15" i="19" s="1"/>
  <c r="AH15" i="9"/>
  <c r="C26" i="18" s="1"/>
  <c r="E26" i="18" s="1"/>
  <c r="F26" i="18" s="1"/>
  <c r="B15" i="9"/>
  <c r="A15" i="9"/>
  <c r="AM14" i="9"/>
  <c r="AK14" i="9"/>
  <c r="AJ14" i="9"/>
  <c r="C14" i="19" s="1"/>
  <c r="AI14" i="9"/>
  <c r="B14" i="19" s="1"/>
  <c r="AH14" i="9"/>
  <c r="B14" i="9"/>
  <c r="A14" i="9"/>
  <c r="AN13" i="9"/>
  <c r="AM13" i="9"/>
  <c r="AK13" i="9"/>
  <c r="D13" i="19" s="1"/>
  <c r="AJ13" i="9"/>
  <c r="C13" i="19" s="1"/>
  <c r="AI13" i="9"/>
  <c r="B13" i="19" s="1"/>
  <c r="AH13" i="9"/>
  <c r="C24" i="18" s="1"/>
  <c r="E24" i="18" s="1"/>
  <c r="F24" i="18" s="1"/>
  <c r="B13" i="9"/>
  <c r="A13" i="9"/>
  <c r="AM12" i="9"/>
  <c r="AK12" i="9"/>
  <c r="D11" i="16" s="1"/>
  <c r="AJ12" i="9"/>
  <c r="C12" i="19" s="1"/>
  <c r="AI12" i="9"/>
  <c r="B12" i="19" s="1"/>
  <c r="AH12" i="9"/>
  <c r="AN12" i="9" s="1"/>
  <c r="B12" i="9"/>
  <c r="A12" i="9"/>
  <c r="AN11" i="9"/>
  <c r="AM11" i="9"/>
  <c r="AK11" i="9"/>
  <c r="AJ11" i="9"/>
  <c r="C11" i="19" s="1"/>
  <c r="AI11" i="9"/>
  <c r="B11" i="19" s="1"/>
  <c r="AH11" i="9"/>
  <c r="C22" i="18" s="1"/>
  <c r="E22" i="18" s="1"/>
  <c r="F22" i="18" s="1"/>
  <c r="B11" i="9"/>
  <c r="A11" i="9"/>
  <c r="AM10" i="9"/>
  <c r="AK10" i="9"/>
  <c r="D9" i="16" s="1"/>
  <c r="AJ10" i="9"/>
  <c r="C10" i="19" s="1"/>
  <c r="AI10" i="9"/>
  <c r="B10" i="19" s="1"/>
  <c r="AH10" i="9"/>
  <c r="C21" i="18" s="1"/>
  <c r="E21" i="18" s="1"/>
  <c r="F21" i="18" s="1"/>
  <c r="B10" i="9"/>
  <c r="A10" i="9"/>
  <c r="AM9" i="9"/>
  <c r="AK9" i="9"/>
  <c r="D8" i="16" s="1"/>
  <c r="AJ9" i="9"/>
  <c r="C9" i="19" s="1"/>
  <c r="AI9" i="9"/>
  <c r="B9" i="19" s="1"/>
  <c r="AH9" i="9"/>
  <c r="B9" i="9"/>
  <c r="A9" i="9"/>
  <c r="AN8" i="9"/>
  <c r="AM8" i="9"/>
  <c r="AK8" i="9"/>
  <c r="D8" i="19" s="1"/>
  <c r="AJ8" i="9"/>
  <c r="C8" i="19" s="1"/>
  <c r="AI8" i="9"/>
  <c r="B8" i="19" s="1"/>
  <c r="AH8" i="9"/>
  <c r="C19" i="18" s="1"/>
  <c r="E19" i="18" s="1"/>
  <c r="F19" i="18" s="1"/>
  <c r="B8" i="9"/>
  <c r="A8" i="9"/>
  <c r="AN7" i="9"/>
  <c r="AM7" i="9"/>
  <c r="AK7" i="9"/>
  <c r="E8" i="18" s="1"/>
  <c r="AJ7" i="9"/>
  <c r="C7" i="19" s="1"/>
  <c r="C17" i="19" s="1"/>
  <c r="AI7" i="9"/>
  <c r="AH7" i="9"/>
  <c r="D12" i="11" s="1"/>
  <c r="F12" i="11" s="1"/>
  <c r="B7" i="9"/>
  <c r="A7" i="9"/>
  <c r="B4" i="9"/>
  <c r="AC5" i="9" s="1"/>
  <c r="AC6" i="9" s="1"/>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B16" i="7"/>
  <c r="A16" i="7"/>
  <c r="B15" i="7"/>
  <c r="A15" i="7"/>
  <c r="B14" i="7"/>
  <c r="A14" i="7"/>
  <c r="B13" i="7"/>
  <c r="A13" i="7"/>
  <c r="B12" i="7"/>
  <c r="A12" i="7"/>
  <c r="B11" i="7"/>
  <c r="A11" i="7"/>
  <c r="B10" i="7"/>
  <c r="A10" i="7"/>
  <c r="B9" i="7"/>
  <c r="A9" i="7"/>
  <c r="B8" i="7"/>
  <c r="A8" i="7"/>
  <c r="B7" i="7"/>
  <c r="A7" i="7"/>
  <c r="R5" i="7"/>
  <c r="R6" i="7" s="1"/>
  <c r="E5" i="7"/>
  <c r="E6" i="7" s="1"/>
  <c r="B4" i="7"/>
  <c r="Z5" i="7" s="1"/>
  <c r="Z6" i="7" s="1"/>
  <c r="B105" i="4"/>
  <c r="A105" i="4"/>
  <c r="B104" i="4"/>
  <c r="A104" i="4"/>
  <c r="B103" i="4"/>
  <c r="A103"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W15" i="4"/>
  <c r="B15" i="4"/>
  <c r="A15" i="4"/>
  <c r="W14" i="4"/>
  <c r="B14" i="4"/>
  <c r="A14" i="4"/>
  <c r="W13" i="4"/>
  <c r="B13" i="4"/>
  <c r="A13" i="4"/>
  <c r="W12" i="4"/>
  <c r="B12" i="4"/>
  <c r="A12" i="4"/>
  <c r="W11" i="4"/>
  <c r="B11" i="4"/>
  <c r="A11" i="4"/>
  <c r="W10" i="4"/>
  <c r="B10" i="4"/>
  <c r="A10" i="4"/>
  <c r="W9" i="4"/>
  <c r="B9" i="4"/>
  <c r="A9" i="4"/>
  <c r="W8" i="4"/>
  <c r="B8" i="4"/>
  <c r="A8" i="4"/>
  <c r="W7" i="4"/>
  <c r="B7" i="4"/>
  <c r="A7" i="4"/>
  <c r="W6" i="4"/>
  <c r="B6" i="4"/>
  <c r="A6" i="4"/>
  <c r="N106" i="3"/>
  <c r="O106" i="3" s="1"/>
  <c r="N105" i="3"/>
  <c r="O105" i="3" s="1"/>
  <c r="N104" i="3"/>
  <c r="O104" i="3" s="1"/>
  <c r="N103" i="3"/>
  <c r="O103" i="3" s="1"/>
  <c r="N102" i="3"/>
  <c r="O102" i="3" s="1"/>
  <c r="N101" i="3"/>
  <c r="O101" i="3" s="1"/>
  <c r="N100" i="3"/>
  <c r="O100" i="3" s="1"/>
  <c r="N99" i="3"/>
  <c r="O99" i="3" s="1"/>
  <c r="O98" i="3"/>
  <c r="N98" i="3"/>
  <c r="N97" i="3"/>
  <c r="O97" i="3" s="1"/>
  <c r="N96" i="3"/>
  <c r="O96" i="3" s="1"/>
  <c r="N95" i="3"/>
  <c r="O95" i="3" s="1"/>
  <c r="N94" i="3"/>
  <c r="O94" i="3" s="1"/>
  <c r="N93" i="3"/>
  <c r="O93" i="3" s="1"/>
  <c r="N92" i="3"/>
  <c r="O92" i="3" s="1"/>
  <c r="N91" i="3"/>
  <c r="O91" i="3" s="1"/>
  <c r="N90" i="3"/>
  <c r="O90" i="3" s="1"/>
  <c r="N89" i="3"/>
  <c r="O89" i="3" s="1"/>
  <c r="N88" i="3"/>
  <c r="O88" i="3" s="1"/>
  <c r="N87" i="3"/>
  <c r="O87" i="3" s="1"/>
  <c r="N86" i="3"/>
  <c r="O86" i="3" s="1"/>
  <c r="N85" i="3"/>
  <c r="O85" i="3" s="1"/>
  <c r="N84" i="3"/>
  <c r="O84" i="3" s="1"/>
  <c r="N83" i="3"/>
  <c r="O83" i="3" s="1"/>
  <c r="N82" i="3"/>
  <c r="O82" i="3" s="1"/>
  <c r="N81" i="3"/>
  <c r="O81" i="3" s="1"/>
  <c r="N80" i="3"/>
  <c r="O80" i="3" s="1"/>
  <c r="N79" i="3"/>
  <c r="O79" i="3" s="1"/>
  <c r="N78" i="3"/>
  <c r="O78" i="3" s="1"/>
  <c r="N77" i="3"/>
  <c r="O77" i="3" s="1"/>
  <c r="N76" i="3"/>
  <c r="O76" i="3" s="1"/>
  <c r="N75" i="3"/>
  <c r="O75" i="3" s="1"/>
  <c r="N74" i="3"/>
  <c r="O74" i="3" s="1"/>
  <c r="N73" i="3"/>
  <c r="O73" i="3" s="1"/>
  <c r="N72" i="3"/>
  <c r="O72" i="3" s="1"/>
  <c r="N71" i="3"/>
  <c r="O71" i="3" s="1"/>
  <c r="N70" i="3"/>
  <c r="O70" i="3" s="1"/>
  <c r="N69" i="3"/>
  <c r="O69" i="3" s="1"/>
  <c r="N68" i="3"/>
  <c r="O68" i="3" s="1"/>
  <c r="N67" i="3"/>
  <c r="O67" i="3" s="1"/>
  <c r="N66" i="3"/>
  <c r="O66" i="3" s="1"/>
  <c r="N65" i="3"/>
  <c r="O65" i="3" s="1"/>
  <c r="N64" i="3"/>
  <c r="O64" i="3" s="1"/>
  <c r="N63" i="3"/>
  <c r="O63" i="3" s="1"/>
  <c r="N62" i="3"/>
  <c r="O62" i="3" s="1"/>
  <c r="N61" i="3"/>
  <c r="O61" i="3" s="1"/>
  <c r="N60" i="3"/>
  <c r="O60" i="3" s="1"/>
  <c r="N59" i="3"/>
  <c r="O59" i="3" s="1"/>
  <c r="N58" i="3"/>
  <c r="O58" i="3" s="1"/>
  <c r="N57" i="3"/>
  <c r="O57" i="3" s="1"/>
  <c r="N56" i="3"/>
  <c r="O56" i="3" s="1"/>
  <c r="N55" i="3"/>
  <c r="O55" i="3" s="1"/>
  <c r="N54" i="3"/>
  <c r="O54" i="3" s="1"/>
  <c r="N53" i="3"/>
  <c r="O53" i="3" s="1"/>
  <c r="N52" i="3"/>
  <c r="O52" i="3" s="1"/>
  <c r="N51" i="3"/>
  <c r="O51" i="3" s="1"/>
  <c r="N50" i="3"/>
  <c r="O50" i="3" s="1"/>
  <c r="N49" i="3"/>
  <c r="O49" i="3" s="1"/>
  <c r="N48" i="3"/>
  <c r="O48" i="3" s="1"/>
  <c r="N47" i="3"/>
  <c r="O47" i="3" s="1"/>
  <c r="N46" i="3"/>
  <c r="O46" i="3" s="1"/>
  <c r="N45" i="3"/>
  <c r="O45" i="3" s="1"/>
  <c r="N44" i="3"/>
  <c r="O44" i="3" s="1"/>
  <c r="N43" i="3"/>
  <c r="O43" i="3" s="1"/>
  <c r="N42" i="3"/>
  <c r="O42" i="3" s="1"/>
  <c r="N41" i="3"/>
  <c r="O41" i="3" s="1"/>
  <c r="N40" i="3"/>
  <c r="O40" i="3" s="1"/>
  <c r="N39" i="3"/>
  <c r="O39" i="3" s="1"/>
  <c r="N38" i="3"/>
  <c r="O38" i="3" s="1"/>
  <c r="N37" i="3"/>
  <c r="O37" i="3" s="1"/>
  <c r="N36" i="3"/>
  <c r="O36" i="3" s="1"/>
  <c r="N35" i="3"/>
  <c r="O35" i="3" s="1"/>
  <c r="N34" i="3"/>
  <c r="O34" i="3" s="1"/>
  <c r="N33" i="3"/>
  <c r="O33" i="3" s="1"/>
  <c r="N32" i="3"/>
  <c r="O32" i="3" s="1"/>
  <c r="N31" i="3"/>
  <c r="O31" i="3" s="1"/>
  <c r="N30" i="3"/>
  <c r="O30" i="3" s="1"/>
  <c r="N29" i="3"/>
  <c r="O29" i="3" s="1"/>
  <c r="N28" i="3"/>
  <c r="O28" i="3" s="1"/>
  <c r="N27" i="3"/>
  <c r="O27" i="3" s="1"/>
  <c r="N26" i="3"/>
  <c r="O26" i="3" s="1"/>
  <c r="N25" i="3"/>
  <c r="O25" i="3" s="1"/>
  <c r="N24" i="3"/>
  <c r="O24" i="3" s="1"/>
  <c r="N23" i="3"/>
  <c r="O23" i="3" s="1"/>
  <c r="N22" i="3"/>
  <c r="O22" i="3" s="1"/>
  <c r="N21" i="3"/>
  <c r="O21" i="3" s="1"/>
  <c r="N20" i="3"/>
  <c r="O20" i="3" s="1"/>
  <c r="N19" i="3"/>
  <c r="O19" i="3" s="1"/>
  <c r="N18" i="3"/>
  <c r="O18" i="3" s="1"/>
  <c r="N17" i="3"/>
  <c r="O17" i="3" s="1"/>
  <c r="N16" i="3"/>
  <c r="C15" i="17" s="1"/>
  <c r="F15" i="17" s="1"/>
  <c r="G15" i="17" s="1"/>
  <c r="N15" i="3"/>
  <c r="C14" i="17" s="1"/>
  <c r="N14" i="3"/>
  <c r="C13" i="17" s="1"/>
  <c r="F13" i="17" s="1"/>
  <c r="G13" i="17" s="1"/>
  <c r="N13" i="3"/>
  <c r="C12" i="17" s="1"/>
  <c r="N12" i="3"/>
  <c r="C11" i="17" s="1"/>
  <c r="F11" i="17" s="1"/>
  <c r="G11" i="17" s="1"/>
  <c r="N11" i="3"/>
  <c r="C10" i="17" s="1"/>
  <c r="N10" i="3"/>
  <c r="C9" i="17" s="1"/>
  <c r="F9" i="17" s="1"/>
  <c r="G9" i="17" s="1"/>
  <c r="N9" i="3"/>
  <c r="C8" i="17" s="1"/>
  <c r="N8" i="3"/>
  <c r="C7" i="17" s="1"/>
  <c r="F7" i="17" s="1"/>
  <c r="G7" i="17" s="1"/>
  <c r="N7" i="3"/>
  <c r="O7" i="3" s="1"/>
  <c r="G7" i="1"/>
  <c r="E7" i="1"/>
  <c r="O11" i="3" l="1"/>
  <c r="M5" i="7"/>
  <c r="M6" i="7" s="1"/>
  <c r="D6" i="20"/>
  <c r="E6" i="20"/>
  <c r="O14" i="3"/>
  <c r="O15" i="3"/>
  <c r="D5" i="10"/>
  <c r="G5" i="10"/>
  <c r="G7" i="10" s="1"/>
  <c r="O8" i="3"/>
  <c r="O12" i="3"/>
  <c r="O16" i="3"/>
  <c r="AG5" i="7"/>
  <c r="AG6" i="7" s="1"/>
  <c r="Y5" i="7"/>
  <c r="Y6" i="7" s="1"/>
  <c r="Q5" i="7"/>
  <c r="Q6" i="7" s="1"/>
  <c r="I5" i="7"/>
  <c r="I6" i="7" s="1"/>
  <c r="AE5" i="7"/>
  <c r="AE6" i="7" s="1"/>
  <c r="W5" i="7"/>
  <c r="W6" i="7" s="1"/>
  <c r="O5" i="7"/>
  <c r="O6" i="7" s="1"/>
  <c r="G5" i="7"/>
  <c r="G6" i="7" s="1"/>
  <c r="AD5" i="7"/>
  <c r="AD6" i="7" s="1"/>
  <c r="V5" i="7"/>
  <c r="V6" i="7" s="1"/>
  <c r="N5" i="7"/>
  <c r="N6" i="7" s="1"/>
  <c r="F5" i="7"/>
  <c r="F6" i="7" s="1"/>
  <c r="AB5" i="7"/>
  <c r="AB6" i="7" s="1"/>
  <c r="T5" i="7"/>
  <c r="T6" i="7" s="1"/>
  <c r="L5" i="7"/>
  <c r="L6" i="7" s="1"/>
  <c r="D5" i="7"/>
  <c r="D6" i="7" s="1"/>
  <c r="AA5" i="7"/>
  <c r="AA6" i="7" s="1"/>
  <c r="S5" i="7"/>
  <c r="S6" i="7" s="1"/>
  <c r="K5" i="7"/>
  <c r="K6" i="7" s="1"/>
  <c r="C5" i="7"/>
  <c r="C6" i="7" s="1"/>
  <c r="X5" i="7"/>
  <c r="X6" i="7" s="1"/>
  <c r="R5" i="9"/>
  <c r="R6" i="9" s="1"/>
  <c r="E9" i="16"/>
  <c r="G9" i="16"/>
  <c r="F9" i="16"/>
  <c r="D10" i="16"/>
  <c r="D11" i="19"/>
  <c r="G11" i="16"/>
  <c r="F11" i="16"/>
  <c r="E11" i="16"/>
  <c r="D14" i="19"/>
  <c r="D13" i="16"/>
  <c r="U5" i="9"/>
  <c r="U6" i="9" s="1"/>
  <c r="G8" i="16"/>
  <c r="F8" i="16"/>
  <c r="E8" i="16"/>
  <c r="H8" i="16" s="1"/>
  <c r="O9" i="3"/>
  <c r="O13" i="3"/>
  <c r="H5" i="7"/>
  <c r="H6" i="7" s="1"/>
  <c r="AC5" i="7"/>
  <c r="AC6" i="7" s="1"/>
  <c r="Z5" i="9"/>
  <c r="Z6" i="9" s="1"/>
  <c r="J5" i="7"/>
  <c r="J6" i="7" s="1"/>
  <c r="AF5" i="7"/>
  <c r="AF6" i="7" s="1"/>
  <c r="AD5" i="9"/>
  <c r="AD6" i="9" s="1"/>
  <c r="V5" i="9"/>
  <c r="V6" i="9" s="1"/>
  <c r="N5" i="9"/>
  <c r="N6" i="9" s="1"/>
  <c r="F5" i="9"/>
  <c r="F6" i="9" s="1"/>
  <c r="AB5" i="9"/>
  <c r="AB6" i="9" s="1"/>
  <c r="T5" i="9"/>
  <c r="T6" i="9" s="1"/>
  <c r="L5" i="9"/>
  <c r="L6" i="9" s="1"/>
  <c r="D5" i="9"/>
  <c r="D6" i="9" s="1"/>
  <c r="AA5" i="9"/>
  <c r="AA6" i="9" s="1"/>
  <c r="S5" i="9"/>
  <c r="S6" i="9" s="1"/>
  <c r="K5" i="9"/>
  <c r="K6" i="9" s="1"/>
  <c r="C5" i="9"/>
  <c r="C16" i="20" s="1"/>
  <c r="AG5" i="9"/>
  <c r="AG6" i="9" s="1"/>
  <c r="Y5" i="9"/>
  <c r="Y6" i="9" s="1"/>
  <c r="Q5" i="9"/>
  <c r="Q6" i="9" s="1"/>
  <c r="I5" i="9"/>
  <c r="I6" i="9" s="1"/>
  <c r="AF5" i="9"/>
  <c r="AF6" i="9" s="1"/>
  <c r="X5" i="9"/>
  <c r="X6" i="9" s="1"/>
  <c r="P5" i="9"/>
  <c r="P6" i="9" s="1"/>
  <c r="H5" i="9"/>
  <c r="H6" i="9" s="1"/>
  <c r="AE5" i="9"/>
  <c r="AE6" i="9" s="1"/>
  <c r="W5" i="9"/>
  <c r="W6" i="9" s="1"/>
  <c r="O5" i="9"/>
  <c r="O6" i="9" s="1"/>
  <c r="G5" i="9"/>
  <c r="G6" i="9" s="1"/>
  <c r="D13" i="10"/>
  <c r="O10" i="3"/>
  <c r="D19" i="11"/>
  <c r="F19" i="11" s="1"/>
  <c r="C6" i="11" s="1"/>
  <c r="C6" i="17"/>
  <c r="F6" i="17" s="1"/>
  <c r="G6" i="17" s="1"/>
  <c r="P5" i="7"/>
  <c r="P6" i="7" s="1"/>
  <c r="E5" i="9"/>
  <c r="E6" i="9" s="1"/>
  <c r="C25" i="18"/>
  <c r="E25" i="18" s="1"/>
  <c r="F25" i="18" s="1"/>
  <c r="AN14" i="9"/>
  <c r="F20" i="9"/>
  <c r="D23" i="11" s="1"/>
  <c r="F23" i="11" s="1"/>
  <c r="N20" i="9"/>
  <c r="V20" i="9"/>
  <c r="AD20" i="9"/>
  <c r="J5" i="9"/>
  <c r="J6" i="9" s="1"/>
  <c r="AN9" i="9"/>
  <c r="D25" i="11" s="1"/>
  <c r="F25" i="11" s="1"/>
  <c r="C20" i="18"/>
  <c r="E20" i="18" s="1"/>
  <c r="F20" i="18" s="1"/>
  <c r="U5" i="7"/>
  <c r="U6" i="7" s="1"/>
  <c r="M5" i="9"/>
  <c r="M6" i="9" s="1"/>
  <c r="C8" i="18"/>
  <c r="I5" i="10"/>
  <c r="D8" i="10"/>
  <c r="D12" i="10"/>
  <c r="D7" i="16"/>
  <c r="D15" i="16"/>
  <c r="D12" i="19"/>
  <c r="D14" i="20"/>
  <c r="D4" i="10"/>
  <c r="D6" i="16"/>
  <c r="D14" i="16"/>
  <c r="D7" i="20"/>
  <c r="E14" i="20"/>
  <c r="D15" i="20"/>
  <c r="C5" i="10"/>
  <c r="C12" i="10" s="1"/>
  <c r="H7" i="10"/>
  <c r="D9" i="10"/>
  <c r="H11" i="10"/>
  <c r="H15" i="10"/>
  <c r="H10" i="13"/>
  <c r="I10" i="13" s="1"/>
  <c r="D10" i="19"/>
  <c r="F6" i="20"/>
  <c r="F8" i="20" s="1"/>
  <c r="E7" i="20"/>
  <c r="D8" i="20"/>
  <c r="C9" i="20"/>
  <c r="E15" i="20"/>
  <c r="D16" i="20"/>
  <c r="I11" i="10"/>
  <c r="H7" i="13"/>
  <c r="I7" i="13" s="1"/>
  <c r="D12" i="16"/>
  <c r="C23" i="18"/>
  <c r="E23" i="18" s="1"/>
  <c r="F23" i="18" s="1"/>
  <c r="B7" i="19"/>
  <c r="D9" i="19"/>
  <c r="G6" i="20"/>
  <c r="G7" i="20" s="1"/>
  <c r="F7" i="20"/>
  <c r="E8" i="20"/>
  <c r="D9" i="20"/>
  <c r="C10" i="20"/>
  <c r="E16" i="20"/>
  <c r="E5" i="10"/>
  <c r="E6" i="10" s="1"/>
  <c r="D6" i="10"/>
  <c r="H8" i="10"/>
  <c r="D10" i="10"/>
  <c r="H12" i="10"/>
  <c r="D14" i="10"/>
  <c r="H12" i="13"/>
  <c r="I12" i="13" s="1"/>
  <c r="H6" i="20"/>
  <c r="H9" i="20" s="1"/>
  <c r="E9" i="20"/>
  <c r="D10" i="20"/>
  <c r="F16" i="20"/>
  <c r="AN10" i="9"/>
  <c r="F5" i="10"/>
  <c r="F11" i="10" s="1"/>
  <c r="C7" i="10"/>
  <c r="C15" i="10"/>
  <c r="H9" i="13"/>
  <c r="I9" i="13" s="1"/>
  <c r="A8" i="18"/>
  <c r="C18" i="18"/>
  <c r="D7" i="19"/>
  <c r="I6" i="20"/>
  <c r="I14" i="20" s="1"/>
  <c r="F9" i="20"/>
  <c r="E10" i="20"/>
  <c r="D11" i="20"/>
  <c r="H6" i="13"/>
  <c r="I6" i="13" s="1"/>
  <c r="E11" i="20"/>
  <c r="D12" i="20"/>
  <c r="H16" i="20"/>
  <c r="H11" i="13"/>
  <c r="I11" i="13" s="1"/>
  <c r="G14" i="10" l="1"/>
  <c r="G15" i="10"/>
  <c r="G11" i="10"/>
  <c r="C11" i="10"/>
  <c r="I6" i="10"/>
  <c r="I13" i="10"/>
  <c r="H13" i="10"/>
  <c r="G6" i="10"/>
  <c r="G9" i="10"/>
  <c r="E14" i="10"/>
  <c r="F15" i="20"/>
  <c r="G13" i="10"/>
  <c r="D7" i="10"/>
  <c r="F10" i="20"/>
  <c r="G8" i="10"/>
  <c r="I8" i="10"/>
  <c r="I14" i="10"/>
  <c r="I8" i="20"/>
  <c r="I7" i="10"/>
  <c r="G8" i="20"/>
  <c r="I12" i="10"/>
  <c r="I9" i="10"/>
  <c r="H12" i="20"/>
  <c r="F12" i="10"/>
  <c r="C5" i="11"/>
  <c r="A7" i="1" s="1"/>
  <c r="C7" i="1"/>
  <c r="I11" i="20"/>
  <c r="G10" i="20"/>
  <c r="I13" i="20"/>
  <c r="I15" i="10"/>
  <c r="G14" i="16"/>
  <c r="F14" i="16"/>
  <c r="E14" i="16"/>
  <c r="I7" i="20"/>
  <c r="AL14" i="9"/>
  <c r="E14" i="19" s="1"/>
  <c r="AL12" i="9"/>
  <c r="E12" i="19" s="1"/>
  <c r="AL11" i="9"/>
  <c r="E11" i="19" s="1"/>
  <c r="F11" i="19" s="1"/>
  <c r="G11" i="19" s="1"/>
  <c r="AL9" i="9"/>
  <c r="E9" i="19" s="1"/>
  <c r="AL16" i="9"/>
  <c r="E16" i="19" s="1"/>
  <c r="AL8" i="9"/>
  <c r="E8" i="19" s="1"/>
  <c r="AL15" i="9"/>
  <c r="E15" i="19" s="1"/>
  <c r="AL7" i="9"/>
  <c r="C6" i="9"/>
  <c r="AL10" i="9"/>
  <c r="E10" i="19" s="1"/>
  <c r="F10" i="19" s="1"/>
  <c r="AL13" i="9"/>
  <c r="E13" i="19" s="1"/>
  <c r="H6" i="10"/>
  <c r="D13" i="20"/>
  <c r="C11" i="20"/>
  <c r="F10" i="16"/>
  <c r="E10" i="16"/>
  <c r="G10" i="16"/>
  <c r="F13" i="10"/>
  <c r="F9" i="10"/>
  <c r="F8" i="10"/>
  <c r="F10" i="10"/>
  <c r="F14" i="10"/>
  <c r="F6" i="10"/>
  <c r="E13" i="10"/>
  <c r="E9" i="10"/>
  <c r="E12" i="10"/>
  <c r="E8" i="10"/>
  <c r="G6" i="16"/>
  <c r="F6" i="16"/>
  <c r="E6" i="16"/>
  <c r="C8" i="10"/>
  <c r="H10" i="10"/>
  <c r="G10" i="10"/>
  <c r="C12" i="20"/>
  <c r="I9" i="20"/>
  <c r="F7" i="10"/>
  <c r="H14" i="10"/>
  <c r="C13" i="20"/>
  <c r="G13" i="16"/>
  <c r="F13" i="16"/>
  <c r="E13" i="16"/>
  <c r="H13" i="16" s="1"/>
  <c r="H8" i="20"/>
  <c r="H11" i="20"/>
  <c r="H10" i="20"/>
  <c r="G12" i="20"/>
  <c r="G11" i="20"/>
  <c r="G9" i="20"/>
  <c r="H7" i="20"/>
  <c r="F9" i="19"/>
  <c r="F11" i="20"/>
  <c r="F13" i="20"/>
  <c r="F12" i="20"/>
  <c r="C14" i="10"/>
  <c r="J14" i="10" s="1"/>
  <c r="C10" i="10"/>
  <c r="C6" i="10"/>
  <c r="J6" i="10" s="1"/>
  <c r="C13" i="10"/>
  <c r="C9" i="10"/>
  <c r="F12" i="19"/>
  <c r="G12" i="19" s="1"/>
  <c r="E11" i="10"/>
  <c r="E13" i="20"/>
  <c r="C14" i="20"/>
  <c r="F14" i="19"/>
  <c r="H9" i="16"/>
  <c r="E12" i="20"/>
  <c r="C7" i="20"/>
  <c r="E15" i="10"/>
  <c r="H11" i="16"/>
  <c r="G15" i="20"/>
  <c r="G15" i="16"/>
  <c r="F15" i="16"/>
  <c r="E15" i="16"/>
  <c r="G16" i="20"/>
  <c r="D17" i="19"/>
  <c r="E10" i="10"/>
  <c r="H14" i="20"/>
  <c r="H13" i="20"/>
  <c r="F14" i="20"/>
  <c r="I10" i="10"/>
  <c r="G7" i="16"/>
  <c r="F7" i="16"/>
  <c r="E7" i="16"/>
  <c r="I16" i="20"/>
  <c r="G12" i="10"/>
  <c r="D15" i="10"/>
  <c r="C15" i="20"/>
  <c r="E7" i="10"/>
  <c r="J7" i="10" s="1"/>
  <c r="H9" i="10"/>
  <c r="G14" i="20"/>
  <c r="B17" i="19"/>
  <c r="H15" i="20"/>
  <c r="C28" i="18"/>
  <c r="E18" i="18"/>
  <c r="G12" i="16"/>
  <c r="F12" i="16"/>
  <c r="E12" i="16"/>
  <c r="G13" i="20"/>
  <c r="I10" i="20"/>
  <c r="F15" i="10"/>
  <c r="I12" i="20"/>
  <c r="I15" i="20"/>
  <c r="C8" i="20"/>
  <c r="D11" i="10"/>
  <c r="J11" i="10" l="1"/>
  <c r="J15" i="10"/>
  <c r="J12" i="10"/>
  <c r="J9" i="10"/>
  <c r="J13" i="10"/>
  <c r="G9" i="19"/>
  <c r="F13" i="19"/>
  <c r="G13" i="19" s="1"/>
  <c r="G14" i="19"/>
  <c r="G10" i="19"/>
  <c r="H12" i="16"/>
  <c r="H7" i="16"/>
  <c r="J10" i="10"/>
  <c r="J8" i="10"/>
  <c r="H10" i="16"/>
  <c r="E7" i="19"/>
  <c r="C12" i="18"/>
  <c r="E17" i="16"/>
  <c r="H6" i="16"/>
  <c r="F15" i="19"/>
  <c r="G15" i="19"/>
  <c r="H14" i="16"/>
  <c r="F17" i="16"/>
  <c r="F8" i="19"/>
  <c r="G8" i="19" s="1"/>
  <c r="G17" i="16"/>
  <c r="F16" i="19"/>
  <c r="G16" i="19"/>
  <c r="E28" i="18"/>
  <c r="F18" i="18"/>
  <c r="F28" i="18" s="1"/>
  <c r="H15" i="16"/>
  <c r="H17" i="16" l="1"/>
  <c r="E17" i="19"/>
  <c r="F7" i="19"/>
  <c r="F17" i="19" s="1"/>
  <c r="G7" i="19" l="1"/>
  <c r="G17" i="19" s="1"/>
</calcChain>
</file>

<file path=xl/sharedStrings.xml><?xml version="1.0" encoding="utf-8"?>
<sst xmlns="http://schemas.openxmlformats.org/spreadsheetml/2006/main" count="888" uniqueCount="536">
  <si>
    <t>HRTime</t>
  </si>
  <si>
    <t>Personaleinsatzplanung  – Pflege</t>
  </si>
  <si>
    <t>v1.0 · Mai 2026</t>
  </si>
  <si>
    <t>Enterprise-Vorlage mit Compliance-Engine, Tarif-Logik und Multi-Standort</t>
  </si>
  <si>
    <t>🎯 Live-Übersicht</t>
  </si>
  <si>
    <t>Compliance-Score</t>
  </si>
  <si>
    <t>Verstöße offen</t>
  </si>
  <si>
    <t>Mitarbeiter aktiv</t>
  </si>
  <si>
    <t>Standorte</t>
  </si>
  <si>
    <t>📑 Inhaltsverzeichnis</t>
  </si>
  <si>
    <t>⚙️  Einstellungen / Stammdaten Unternehmen</t>
  </si>
  <si>
    <t>→ Öffnen</t>
  </si>
  <si>
    <t>Firma, Standorte, Tarif, Sollstunden, Zuschläge</t>
  </si>
  <si>
    <t>👥  Mitarbeiter-Stammdaten</t>
  </si>
  <si>
    <t>Namen, Verträge, Stundenlohn, Aushang-Einwilligung</t>
  </si>
  <si>
    <t>🎓  Qualifikations-Matrix (Skills)</t>
  </si>
  <si>
    <t>Skills × MA, Zertifikate mit Ablaufdatum</t>
  </si>
  <si>
    <t>🚗  Ressourcen / Fahrzeuge / Anlagen</t>
  </si>
  <si>
    <t>Fahrzeuge, Anlagen, Pflicht-Qualifikation</t>
  </si>
  <si>
    <t>📅  Feiertage</t>
  </si>
  <si>
    <t>Bundesland-spezifisch, automatischer Lookup</t>
  </si>
  <si>
    <t>📝  Wünsche / Verfügbarkeiten</t>
  </si>
  <si>
    <t>Mitarbeiter-Wünsche pro Tag</t>
  </si>
  <si>
    <t>🚫  Abwesenheiten</t>
  </si>
  <si>
    <t>Urlaub, Krank, Fortbildung – automatisch im Plan</t>
  </si>
  <si>
    <t>📋  Schichtplan (Monat) – Hauptarbeitsblatt</t>
  </si>
  <si>
    <t>31 Tage × Mitarbeiter, Live-Compliance-Ampel</t>
  </si>
  <si>
    <t>🔄  Schichtplan (Woche, Druck-optimiert)</t>
  </si>
  <si>
    <t>7 Tage × Mitarbeiter, A4-quer-Druck</t>
  </si>
  <si>
    <t>✅  Compliance-Cockpit</t>
  </si>
  <si>
    <t>ArbZG, TzBfG, MiLoG, BetrVG, DSGVO – Live-Score</t>
  </si>
  <si>
    <t>📊  KPI-Dashboard</t>
  </si>
  <si>
    <t>Pivots: Stunden, Kosten, Zuschläge, Auslastung</t>
  </si>
  <si>
    <t>💰  Personalkosten-Forecast</t>
  </si>
  <si>
    <t>Plan-Kosten je Schicht, Standort, Monat</t>
  </si>
  <si>
    <t>📄  Aushang (DSGVO-konform, pseudonymisiert)</t>
  </si>
  <si>
    <t>Druckansicht für Schwarzes Brett</t>
  </si>
  <si>
    <t>🕒  Änderungshistorie / Audit-Trail (MiLoG § 17)</t>
  </si>
  <si>
    <t>Manuelle Doku, 2 Jahre Aufbewahrung</t>
  </si>
  <si>
    <t>⚡ Quick-Start in 5 Schritten</t>
  </si>
  <si>
    <t>1. ⚙️  Einstellungen: Firma, Bundesland und Tarif eintragen.</t>
  </si>
  <si>
    <t>2. 👥  Mitarbeiter-Stammdaten ausfüllen (Beispieldaten überschreiben).</t>
  </si>
  <si>
    <t>3. 📅  Feiertage prüfen – sind für 2026 vorbelegt für alle Bundesländer.</t>
  </si>
  <si>
    <t>4. 📋  Plan Monat: Schichten per Dropdown eintragen – Compliance-Ampel reagiert live.</t>
  </si>
  <si>
    <t>5. ✅  Compliance-Cockpit checken: Alle Verstöße auf einen Blick.</t>
  </si>
  <si>
    <t>⚠  Wichtiger Hinweis – Keine Rechtsberatung</t>
  </si>
  <si>
    <t>Diese Vorlage unterstützt Sie bei der Einhaltung der wichtigsten Vorgaben aus ArbZG, TzBfG, MiLoG, JArbSchG, § 87 BetrVG, DSGVO und § 3b EStG. Sie ersetzt jedoch keine arbeitsrechtliche oder steuerliche Beratung. Tarifregelungen (TVöD, NGG, IG Metall etc.) sind Stand Mai 2026 und können regional und zeitlich abweichen. Im Zweifel bitte die jeweils gültige Norm prüfen.</t>
  </si>
  <si>
    <t>Einstellungen &amp; Unternehmens-Stammdaten</t>
  </si>
  <si>
    <t>Zentrale Konfiguration – wirkt auf alle Plan-, KPI- und Compliance-Sheets</t>
  </si>
  <si>
    <t>🏢 Firma &amp; Rahmen</t>
  </si>
  <si>
    <t>Firmenname</t>
  </si>
  <si>
    <t>Mustermann GmbH</t>
  </si>
  <si>
    <t>Branche</t>
  </si>
  <si>
    <t>Master / branchenneutral</t>
  </si>
  <si>
    <t>Standardbundesland</t>
  </si>
  <si>
    <t>NI</t>
  </si>
  <si>
    <t>Geschäftsjahr-Start</t>
  </si>
  <si>
    <t>Januar</t>
  </si>
  <si>
    <t>Tarifprofil</t>
  </si>
  <si>
    <t>Kein Tarif / Haustarif</t>
  </si>
  <si>
    <t>Sollarbeitszeit/Woche (Std.)</t>
  </si>
  <si>
    <t>Pausenregel (≥30 min ab Std.)</t>
  </si>
  <si>
    <t>Pausenregel (≥45 min ab Std.)</t>
  </si>
  <si>
    <t>Min. Ruhezeit (Std.)</t>
  </si>
  <si>
    <t>Max. Tagesarbeitszeit (Std.)</t>
  </si>
  <si>
    <t>Werktage/Woche</t>
  </si>
  <si>
    <t>Bekanntgabe-Vorlauf (Tage)</t>
  </si>
  <si>
    <t>📍 Standorte</t>
  </si>
  <si>
    <t>ID</t>
  </si>
  <si>
    <t>Bezeichnung</t>
  </si>
  <si>
    <t>Adresse</t>
  </si>
  <si>
    <t>Bundesland</t>
  </si>
  <si>
    <t>Standortleitung</t>
  </si>
  <si>
    <t>ST01</t>
  </si>
  <si>
    <t>Standort Hauptsitz</t>
  </si>
  <si>
    <t>Hauptstraße 1, 48529 Nordhorn</t>
  </si>
  <si>
    <t>Frau Anna Beispiel</t>
  </si>
  <si>
    <t>ST02</t>
  </si>
  <si>
    <t>Standort Filiale Nord</t>
  </si>
  <si>
    <t>Nordring 12, 26789 Leer</t>
  </si>
  <si>
    <t>Herr Bernd Muster</t>
  </si>
  <si>
    <t>ST03</t>
  </si>
  <si>
    <t>Standort Filiale Süd</t>
  </si>
  <si>
    <t>Südstraße 5, 88045 Friedrichshafen</t>
  </si>
  <si>
    <t>BW</t>
  </si>
  <si>
    <t>Frau Clara Demo</t>
  </si>
  <si>
    <t>💶 Zuschlagssätze (steuerfrei nach § 3b EStG)</t>
  </si>
  <si>
    <t>Zuschlagsart</t>
  </si>
  <si>
    <t>Wert</t>
  </si>
  <si>
    <t>Nachtzuschlag (20–6 Uhr)</t>
  </si>
  <si>
    <t>Nachtzuschlag verstärkt (0–4 Uhr nach Aufnahme &lt;0)</t>
  </si>
  <si>
    <t>Sonntagszuschlag</t>
  </si>
  <si>
    <t>Feiertagszuschlag (regulär)</t>
  </si>
  <si>
    <t>Feiertagszuschlag (24.12 ab 14h, 25/26.12, 1.5)</t>
  </si>
  <si>
    <t>Wechselschichtzulage (€/Monat, Tarif)</t>
  </si>
  <si>
    <t>Schichtzulage (€/Monat, Tarif)</t>
  </si>
  <si>
    <t>AG-Anteil Sozialversicherung (Aufschlag auf Lohn)</t>
  </si>
  <si>
    <t>🔣 Schicht-Codes (Referenz – wird im Plan als Dropdown verwendet)</t>
  </si>
  <si>
    <t>Code</t>
  </si>
  <si>
    <t>Standardzeit</t>
  </si>
  <si>
    <t>F</t>
  </si>
  <si>
    <t>Frühschicht</t>
  </si>
  <si>
    <t>06:00–14:00</t>
  </si>
  <si>
    <t>S</t>
  </si>
  <si>
    <t>Spätschicht</t>
  </si>
  <si>
    <t>14:00–22:00</t>
  </si>
  <si>
    <t>N</t>
  </si>
  <si>
    <t>Nachtschicht</t>
  </si>
  <si>
    <t>22:00–06:00</t>
  </si>
  <si>
    <t>T</t>
  </si>
  <si>
    <t>Tagdienst</t>
  </si>
  <si>
    <t>08:00–17:00</t>
  </si>
  <si>
    <t>ZD</t>
  </si>
  <si>
    <t>Zwischendienst</t>
  </si>
  <si>
    <t>10:00–18:00</t>
  </si>
  <si>
    <t>BD</t>
  </si>
  <si>
    <t>Bereitschaftsdienst</t>
  </si>
  <si>
    <t>-</t>
  </si>
  <si>
    <t>RB</t>
  </si>
  <si>
    <t>Rufbereitschaft</t>
  </si>
  <si>
    <t>U</t>
  </si>
  <si>
    <t>Urlaub</t>
  </si>
  <si>
    <t>K</t>
  </si>
  <si>
    <t>Krank</t>
  </si>
  <si>
    <t>FT</t>
  </si>
  <si>
    <t>Feiertag (frei)</t>
  </si>
  <si>
    <t>FZ</t>
  </si>
  <si>
    <t>Freizeitausgleich</t>
  </si>
  <si>
    <t>FB</t>
  </si>
  <si>
    <t>Fortbildung</t>
  </si>
  <si>
    <t>ME</t>
  </si>
  <si>
    <t>Mutterschutz/Eltern</t>
  </si>
  <si>
    <t>ON</t>
  </si>
  <si>
    <t>Onboarding</t>
  </si>
  <si>
    <t>X</t>
  </si>
  <si>
    <t>Frei</t>
  </si>
  <si>
    <t>© HRTime Software GmbH 2026 · Diese Vorlage ersetzt keine juristische Beratung.</t>
  </si>
  <si>
    <t>Mehr unter hrtime.de · Demo: hrtime.de/anfrage-formular/</t>
  </si>
  <si>
    <t>Mitarbeiter-Stammdaten</t>
  </si>
  <si>
    <t>Hier eintragen: alle aktiven Mitarbeiter inkl. Vertrag, Lohn, Tarif, Aushang-Einwilligung</t>
  </si>
  <si>
    <t>Vorname</t>
  </si>
  <si>
    <t>Nachname</t>
  </si>
  <si>
    <t>Initialen</t>
  </si>
  <si>
    <t>Eintritt</t>
  </si>
  <si>
    <t>Geburtsdatum</t>
  </si>
  <si>
    <t>Beschäftigungsart</t>
  </si>
  <si>
    <t>Sollstd./Wo.</t>
  </si>
  <si>
    <t>Stundenlohn (€)</t>
  </si>
  <si>
    <t>Tarif</t>
  </si>
  <si>
    <t>Standort</t>
  </si>
  <si>
    <t>Aushang-OK</t>
  </si>
  <si>
    <t>Nachtarbeitn.</t>
  </si>
  <si>
    <t>Alter</t>
  </si>
  <si>
    <t>Jugend (&lt;18)</t>
  </si>
  <si>
    <t>Status</t>
  </si>
  <si>
    <t>Beispiel-Daten (überschreiben):</t>
  </si>
  <si>
    <t>MA001</t>
  </si>
  <si>
    <t>Anna</t>
  </si>
  <si>
    <t>Beispiel</t>
  </si>
  <si>
    <t>AB</t>
  </si>
  <si>
    <t>Vollzeit (unbefristet)</t>
  </si>
  <si>
    <t>Ja</t>
  </si>
  <si>
    <t>Nein</t>
  </si>
  <si>
    <t>Aktiv</t>
  </si>
  <si>
    <t>MA002</t>
  </si>
  <si>
    <t>Bernd</t>
  </si>
  <si>
    <t>Muster</t>
  </si>
  <si>
    <t>BM</t>
  </si>
  <si>
    <t>MA003</t>
  </si>
  <si>
    <t>Clara</t>
  </si>
  <si>
    <t>Demo</t>
  </si>
  <si>
    <t>CD</t>
  </si>
  <si>
    <t>Teilzeit (unbefristet)</t>
  </si>
  <si>
    <t>MA004</t>
  </si>
  <si>
    <t>David</t>
  </si>
  <si>
    <t>Test</t>
  </si>
  <si>
    <t>DT</t>
  </si>
  <si>
    <t>MA005</t>
  </si>
  <si>
    <t>Eva</t>
  </si>
  <si>
    <t>Vorlage</t>
  </si>
  <si>
    <t>EV</t>
  </si>
  <si>
    <t>MA006</t>
  </si>
  <si>
    <t>Frank</t>
  </si>
  <si>
    <t>Schicht</t>
  </si>
  <si>
    <t>FS</t>
  </si>
  <si>
    <t>MA007</t>
  </si>
  <si>
    <t>Greta</t>
  </si>
  <si>
    <t>Plan</t>
  </si>
  <si>
    <t>GP</t>
  </si>
  <si>
    <t>Auszubildend</t>
  </si>
  <si>
    <t>MA008</t>
  </si>
  <si>
    <t>Hans</t>
  </si>
  <si>
    <t>HB</t>
  </si>
  <si>
    <t>MA009</t>
  </si>
  <si>
    <t>Ina</t>
  </si>
  <si>
    <t>IM</t>
  </si>
  <si>
    <t>Minijob (603 €)</t>
  </si>
  <si>
    <t>MA010</t>
  </si>
  <si>
    <t>Jan</t>
  </si>
  <si>
    <t>JD</t>
  </si>
  <si>
    <t>Qualifikations-Matrix</t>
  </si>
  <si>
    <t>0 = nicht qualifiziert  ·  1 = Grundkenntnisse  ·  2 = sicher  ·  3 = Trainer/Multiplikator</t>
  </si>
  <si>
    <t>MA-ID</t>
  </si>
  <si>
    <t>Name</t>
  </si>
  <si>
    <t>Ersthelfer (BG)</t>
  </si>
  <si>
    <t>Brandschutzhelfer</t>
  </si>
  <si>
    <t>Hygiene-Schulung</t>
  </si>
  <si>
    <t>Datenschutz-Schulung</t>
  </si>
  <si>
    <t>Stapler-Schein (DGUV V 68)</t>
  </si>
  <si>
    <t>Kran-Führerschein</t>
  </si>
  <si>
    <t>Hubarbeitsbühne</t>
  </si>
  <si>
    <t>Fahrerlaubnis BE</t>
  </si>
  <si>
    <t>Fahrerlaubnis C/CE</t>
  </si>
  <si>
    <t>Elektrofachkraft (DGUV V 3)</t>
  </si>
  <si>
    <t>Schweißerzeugnis (DIN EN ISO 9606)</t>
  </si>
  <si>
    <t>Examinierte Pflegekraft</t>
  </si>
  <si>
    <t>Pflegehilfskraft</t>
  </si>
  <si>
    <t>Sachkunde § 11 MPG</t>
  </si>
  <si>
    <t>Cocktail-Mixology</t>
  </si>
  <si>
    <t>HACCP-Schulung</t>
  </si>
  <si>
    <t>Allergen-Schulung</t>
  </si>
  <si>
    <t>Kassen-Schulung</t>
  </si>
  <si>
    <t>Schichtleitung</t>
  </si>
  <si>
    <t>Onboarding-Trainer</t>
  </si>
  <si>
    <t>Skill-Score</t>
  </si>
  <si>
    <t>Zertifikat-Ablauf nächstes</t>
  </si>
  <si>
    <t>Ressourcen / Fahrzeuge / Anlagen</t>
  </si>
  <si>
    <t>Verknüpft Mitarbeiter mit Fahrzeugen, Maschinen oder Touren – Pflicht-Qualifikation prüfbar</t>
  </si>
  <si>
    <t>Typ</t>
  </si>
  <si>
    <t>Pflicht-Qualifikation</t>
  </si>
  <si>
    <t>Kosten/Tag (€)</t>
  </si>
  <si>
    <t>RES01</t>
  </si>
  <si>
    <t>Servicewagen 1 (VW T6)</t>
  </si>
  <si>
    <t>Fahrzeug</t>
  </si>
  <si>
    <t>Verfügbar</t>
  </si>
  <si>
    <t>RES02</t>
  </si>
  <si>
    <t>LKW (MAN TGS 18.320)</t>
  </si>
  <si>
    <t>RES03</t>
  </si>
  <si>
    <t>Stapler (Linde H25)</t>
  </si>
  <si>
    <t>Maschine</t>
  </si>
  <si>
    <t>RES04</t>
  </si>
  <si>
    <t>RES05</t>
  </si>
  <si>
    <t>Pflegewagen Station 3</t>
  </si>
  <si>
    <t>Equipment</t>
  </si>
  <si>
    <t>ℹ  Tipp: Pflicht-Qualifikation</t>
  </si>
  <si>
    <t>Wer im Plan einer Ressource zugeordnet wird, sollte die hier hinterlegte Qualifikation in der Skills-Matrix mit Wert ≥ 2 besitzen. In der Compliance-Auswertung wird das automatisch geprüft.</t>
  </si>
  <si>
    <t>Feiertage 2026</t>
  </si>
  <si>
    <t>Vorbelegt mit bundeseinheitlichen Feiertagen + Auswahl regionaler Feiertage</t>
  </si>
  <si>
    <t>Datum</t>
  </si>
  <si>
    <t>Gültigkeit (Bundesländer)</t>
  </si>
  <si>
    <t>Ersatzruhe?</t>
  </si>
  <si>
    <t>Neujahr</t>
  </si>
  <si>
    <t>Alle Bundesländer</t>
  </si>
  <si>
    <t>Heilige Drei Könige</t>
  </si>
  <si>
    <t>BW, BY, ST</t>
  </si>
  <si>
    <t>Internationaler Frauentag</t>
  </si>
  <si>
    <t>BE, MV</t>
  </si>
  <si>
    <t>Karfreitag</t>
  </si>
  <si>
    <t>Ostermontag</t>
  </si>
  <si>
    <t>Tag der Arbeit</t>
  </si>
  <si>
    <t>Christi Himmelfahrt</t>
  </si>
  <si>
    <t>Pfingstmontag</t>
  </si>
  <si>
    <t>Fronleichnam</t>
  </si>
  <si>
    <t>BW, BY, HE, NW, RP, SL</t>
  </si>
  <si>
    <t>Augsburger Friedensfest</t>
  </si>
  <si>
    <t>BY (Augsburg)</t>
  </si>
  <si>
    <t>Mariä Himmelfahrt</t>
  </si>
  <si>
    <t>BY (kath.), SL</t>
  </si>
  <si>
    <t>Weltkindertag</t>
  </si>
  <si>
    <t>TH</t>
  </si>
  <si>
    <t>Tag der Deutschen Einheit</t>
  </si>
  <si>
    <t>Reformationstag</t>
  </si>
  <si>
    <t>BB, HB, HH, MV, NI, SN, ST, SH, TH</t>
  </si>
  <si>
    <t>Allerheiligen</t>
  </si>
  <si>
    <t>BW, BY, NW, RP, SL</t>
  </si>
  <si>
    <t>Buß- und Bettag</t>
  </si>
  <si>
    <t>SN</t>
  </si>
  <si>
    <t>1. Weihnachtsfeiertag</t>
  </si>
  <si>
    <t>2. Weihnachtsfeiertag</t>
  </si>
  <si>
    <t>ℹ  Hinweis – Branchen-Ausnahmen § 10 ArbZG</t>
  </si>
  <si>
    <t>Sonn- und Feiertagsarbeit ist in bestimmten Branchen (Krankenhaus, Gastronomie, Verkehr, Energie) zulässig. Pro Sonntag muss ein Ersatzruhetag innerhalb von 2 Wochen, pro Feiertag innerhalb von 8 Wochen gewährt werden (§ 11 Abs. 3 ArbZG).</t>
  </si>
  <si>
    <t>Mitarbeiter-Wünsche &amp; Verfügbarkeiten</t>
  </si>
  <si>
    <t>Frei-Wunsch (X), Frühpräferenz (F), Spätpräferenz (S), Nachtpräferenz (N), Urlaub (U)</t>
  </si>
  <si>
    <t>Plan-Monat:</t>
  </si>
  <si>
    <t>Abwesenheiten</t>
  </si>
  <si>
    <t>Eintragungen ziehen automatisch in den Schichtplan – inkl. Resturlaub-Tracker</t>
  </si>
  <si>
    <t>Art</t>
  </si>
  <si>
    <t>Beginn</t>
  </si>
  <si>
    <t>Ende</t>
  </si>
  <si>
    <t>Tage</t>
  </si>
  <si>
    <t>Bemerkung</t>
  </si>
  <si>
    <t>Genehmigt</t>
  </si>
  <si>
    <t>Anna Beispiel</t>
  </si>
  <si>
    <t>Clara Demo</t>
  </si>
  <si>
    <t>—</t>
  </si>
  <si>
    <t>Eva Vorlage</t>
  </si>
  <si>
    <t>Erste-Hilfe-Auffrischung</t>
  </si>
  <si>
    <t>Hans Beispiel</t>
  </si>
  <si>
    <t>Schichtplan – Monatsansicht</t>
  </si>
  <si>
    <t>Hauptarbeitsblatt – Schichten per Dropdown · Live-Compliance-Ampel · Wochensummen</t>
  </si>
  <si>
    <t>BR-Status:</t>
  </si>
  <si>
    <t>Entwurf</t>
  </si>
  <si>
    <t>Veröffentlicht am:</t>
  </si>
  <si>
    <t>Std.</t>
  </si>
  <si>
    <t>So-Ein</t>
  </si>
  <si>
    <t>Feier</t>
  </si>
  <si>
    <t>Ampel</t>
  </si>
  <si>
    <t>Frühschicht (F) – Anzahl</t>
  </si>
  <si>
    <t>Spätschicht (S) – Anzahl</t>
  </si>
  <si>
    <t>Nachtschicht (N) – Anzahl</t>
  </si>
  <si>
    <t>Mindestbesetzung erfüllt?</t>
  </si>
  <si>
    <t>ℹ  Mindestbesetzung anpassen</t>
  </si>
  <si>
    <t>Die Mindestbesetzung (Default: ≥2 Früh + ≥2 Spät) prüft die Formel in Zeile 20. Branchenspezifische Werte werden in den Branchen-Varianten Pflege/Gastro/Produktion ausführlich abgebildet.</t>
  </si>
  <si>
    <t>Schichtplan – Wochenansicht</t>
  </si>
  <si>
    <t>Druck-optimiert (A4 quer) – Verweis auf Plan Monat</t>
  </si>
  <si>
    <t>Wochenstart:</t>
  </si>
  <si>
    <t>bis</t>
  </si>
  <si>
    <t>Σ Std.</t>
  </si>
  <si>
    <t>Compliance-Cockpit</t>
  </si>
  <si>
    <t>ArbZG · TzBfG · MiLoG · JArbSchG · § 87 BetrVG · DSGVO · § 3b EStG – alle Checks live</t>
  </si>
  <si>
    <t>🎯 Compliance-Score</t>
  </si>
  <si>
    <t>Aktueller Score (0–100):</t>
  </si>
  <si>
    <t>Offene Verstöße (Anzahl):</t>
  </si>
  <si>
    <t>🔍 Live-Compliance-Checks</t>
  </si>
  <si>
    <t>Check</t>
  </si>
  <si>
    <t>Norm</t>
  </si>
  <si>
    <t>Schwelle</t>
  </si>
  <si>
    <t>Aktuell</t>
  </si>
  <si>
    <t>Beschreibung</t>
  </si>
  <si>
    <t>Gewicht</t>
  </si>
  <si>
    <t>Tagesarbeitszeit &gt; 10h</t>
  </si>
  <si>
    <t>§ 3 ArbZG</t>
  </si>
  <si>
    <t>0</t>
  </si>
  <si>
    <t>Werktäglich max. 8h, max. 10h mit Ausgleich (24 Wochen Ø 8h).</t>
  </si>
  <si>
    <t>Mindest-Pause &lt; 30 min ab 6h</t>
  </si>
  <si>
    <t>§ 4 ArbZG</t>
  </si>
  <si>
    <t>≥30 min ab 6h Arbeitszeit, ≥45 min ab 9h. Aufteilung in Blöcke ≥15 min.</t>
  </si>
  <si>
    <t>Ruhezeit &lt; 11h zw. Schichten</t>
  </si>
  <si>
    <t>§ 5 ArbZG</t>
  </si>
  <si>
    <t>Mindestens 11h Ruhezeit zwischen 2 Schichten (10h in Pflege/Gastro/Verkehr mit Ausgleich).</t>
  </si>
  <si>
    <t>Mehr als 6 Werktage am Stück</t>
  </si>
  <si>
    <t>§ 9 ArbZG</t>
  </si>
  <si>
    <t>Sonntags-Beschäftigung nur in Ausnahmebranchen, ≥15 freie Sonntage/Jahr (§ 11 Abs. 1).</t>
  </si>
  <si>
    <t>Nachtarbeitnehmer ohne Untersuchung</t>
  </si>
  <si>
    <t>§ 6 (3) ArbZG</t>
  </si>
  <si>
    <t>Nachtarbeitnehmer haben Anspruch auf arbeitsmedizinische Untersuchung alle 3 Jahre (ab 50 jährlich).</t>
  </si>
  <si>
    <t>Bekanntgabe &lt; 4 Tage Vorlauf</t>
  </si>
  <si>
    <t>§ 12 (3) TzBfG</t>
  </si>
  <si>
    <t>Schichten müssen mind. 4 Tage im Voraus bekannt gegeben werden (Abruf-Beschäftigte).</t>
  </si>
  <si>
    <t>MiLoG-Aufzeichnung lückenhaft</t>
  </si>
  <si>
    <t>§ 17 MiLoG</t>
  </si>
  <si>
    <t>Beginn/Ende/Dauer pro Tag aufzeichnen, ≤7 Tage später, 2 Jahre aufbewahren.</t>
  </si>
  <si>
    <t>Jugendlicher &gt; 8h/Tag</t>
  </si>
  <si>
    <t>JArbSchG § 8</t>
  </si>
  <si>
    <t>Jugendliche max. 8h/Tag (8,5h ausnahmsweise), 40h/Wo, Schichtzeit max. 10h, Ruhezeit 12h.</t>
  </si>
  <si>
    <t>Jugendlicher Schicht spät &gt; 20 Uhr</t>
  </si>
  <si>
    <t>JArbSchG § 14</t>
  </si>
  <si>
    <t>Arbeitszeit Jugendliche nur 6–20 Uhr (Gastro 22 Uhr ab 16 J, Bäckerei 4 Uhr).</t>
  </si>
  <si>
    <t>BR-Status: Nicht zugestimmt</t>
  </si>
  <si>
    <t>§ 87 BetrVG</t>
  </si>
  <si>
    <t>Zugestimmt</t>
  </si>
  <si>
    <t>Schichtpläne und Änderungen bedürfen der Zustimmung des Betriebsrats.</t>
  </si>
  <si>
    <t>Aushang ohne Einwilligung</t>
  </si>
  <si>
    <t>DSGVO Art. 6 / BDSG § 26</t>
  </si>
  <si>
    <t>Klarnamen-Aushang nur mit Einwilligung der Mitarbeiter. Anonyme Ansicht in Aushang-Sheet nutzen.</t>
  </si>
  <si>
    <t>Mindestbesetzung Schicht nicht erfüllt</t>
  </si>
  <si>
    <t>Betriebliche Vorgabe</t>
  </si>
  <si>
    <t>Pro Schicht ist eine Mindestbesetzung definiert (Default: 2F+2S). Anpassbar.</t>
  </si>
  <si>
    <t>Sonntags-Einsätze ohne Ersatzruhetag</t>
  </si>
  <si>
    <t>§ 11 (3) ArbZG</t>
  </si>
  <si>
    <t>Pro Sonntag Ersatzruhetag in 2 Wochen, pro Feiertag in 8 Wochen.</t>
  </si>
  <si>
    <t>Sollarbeitszeit &gt; 25 % überschritten</t>
  </si>
  <si>
    <t>Betrieblich</t>
  </si>
  <si>
    <t>Massive Überschreitung deutet auf strukturelles Personalproblem hin.</t>
  </si>
  <si>
    <t>Onboarding-Schicht ohne Begleitung</t>
  </si>
  <si>
    <t>Erste 14 Tage neuer MA: Einsatz nur mit erfahrenem Begleiter.</t>
  </si>
  <si>
    <t>⚠  DSGVO – Datenschutz im Schichtplan</t>
  </si>
  <si>
    <t>Ein Schichtplan mit Klarnamen ist eine Verarbeitung personenbezogener Daten. Ein öffentlicher Aushang setzt grundsätzlich die Einwilligung der Mitarbeiter voraus (BDSG § 26 Abs. 2). Pseudonymisierte Aushang-Versionen (siehe Sheet '📄 Aushang') sind eine sichere Alternative.</t>
  </si>
  <si>
    <t>ℹ  § 87 BetrVG – Mitbestimmung Betriebsrat</t>
  </si>
  <si>
    <t>Der Betriebsrat hat ein erzwingbares Mitbestimmungsrecht bei Beginn und Ende der täglichen Arbeitszeit, Pausen und Verteilung der Arbeitszeit auf die Wochentage. Auch jeder einzelne Schichtplan und jede Änderung – inkl. Eilfälle – fallen darunter.</t>
  </si>
  <si>
    <t>Stationen / pflegesensitive Bereiche</t>
  </si>
  <si>
    <t>Verknüpft Stationen mit pflegesensitiven Bereichen nach PpUGV § 6</t>
  </si>
  <si>
    <t>Station</t>
  </si>
  <si>
    <t>Pflegesensitiver Bereich (PpUGV)</t>
  </si>
  <si>
    <t>Betten</t>
  </si>
  <si>
    <t>Quartalsmeldung</t>
  </si>
  <si>
    <t>Station 3 – Innere</t>
  </si>
  <si>
    <t>Innere Medizin</t>
  </si>
  <si>
    <t>InEK Q2 2026</t>
  </si>
  <si>
    <t>Station 5 – Geriatrie</t>
  </si>
  <si>
    <t>Geriatrie</t>
  </si>
  <si>
    <t>Intensiv 1</t>
  </si>
  <si>
    <t>Intensivmedizin (Erwachsene)</t>
  </si>
  <si>
    <t>ST04</t>
  </si>
  <si>
    <t>Stroke-Unit</t>
  </si>
  <si>
    <t>ST05</t>
  </si>
  <si>
    <t>Neonatologie</t>
  </si>
  <si>
    <t>⚠  PpUGV § 6 – Quartalsmeldung an InEK</t>
  </si>
  <si>
    <t>Pro pflegesensitivem Bereich ist quartalsweise (15.04. / 15.07. / 15.10. / 15.01.) der Pflegepersonal-Quotient an InEK zu melden. Bei Unterschreitung der Untergrenzen drohen Vergütungsabschläge. Die Auswertung erfolgt im Sheet '🔢 PpUGV Live-Check'.</t>
  </si>
  <si>
    <t>PpUGV Live-Check (§ 6 PpUGV 2026)</t>
  </si>
  <si>
    <t>Patient-zu-Pflegekraft-Verhältnis pro Schicht und Station – live geprüft</t>
  </si>
  <si>
    <t>Patienten</t>
  </si>
  <si>
    <t>PF (anwesend)</t>
  </si>
  <si>
    <t>PH (anwesend)</t>
  </si>
  <si>
    <t>Ist-Ratio</t>
  </si>
  <si>
    <t>Soll-Ratio</t>
  </si>
  <si>
    <t>Ergebnis</t>
  </si>
  <si>
    <t>Hilfskraft %</t>
  </si>
  <si>
    <t>Compliance</t>
  </si>
  <si>
    <t>Tag</t>
  </si>
  <si>
    <t>Nacht</t>
  </si>
  <si>
    <t>⚠  PpUGV-Berechnung (vereinfacht)</t>
  </si>
  <si>
    <t>Ist-Ratio = Patienten / (Pflegefachkräfte + Pflegehilfskräfte × 0,5). Wird die Ratio überschritten, ist die Untergrenze nach § 6 PpUGV verletzt – mit Risiko des Vergütungsabschlags. Auch der Hilfskraftanteil-Maximalwert wird live geprüft.</t>
  </si>
  <si>
    <t>🔍 PpUGV-Lookup (intern, nicht ändern)</t>
  </si>
  <si>
    <t>Tag-Ratio</t>
  </si>
  <si>
    <t>Nacht-Ratio</t>
  </si>
  <si>
    <t>Max Hilfskraft %</t>
  </si>
  <si>
    <t>Pflegesensitiver Bereich (Ref.)</t>
  </si>
  <si>
    <t>Bereich</t>
  </si>
  <si>
    <t>Max Hilfskr.</t>
  </si>
  <si>
    <t>Intensivmedizin (pädiatrisch)</t>
  </si>
  <si>
    <t>Kardiologie</t>
  </si>
  <si>
    <t>Allgemeine Chirurgie</t>
  </si>
  <si>
    <t>Unfallchirurgie</t>
  </si>
  <si>
    <t>Herzchirurgie</t>
  </si>
  <si>
    <t>Neurologie</t>
  </si>
  <si>
    <t>Neurol. Frührehabilitation</t>
  </si>
  <si>
    <t>Orthopädie</t>
  </si>
  <si>
    <t>Gynäkologie &amp; Geburtshilfe</t>
  </si>
  <si>
    <t>Pädiatrie (allgemein)</t>
  </si>
  <si>
    <t>Pädiatrie (spezielle)</t>
  </si>
  <si>
    <t>HNO</t>
  </si>
  <si>
    <t>Urologie</t>
  </si>
  <si>
    <t>Rheumatologie</t>
  </si>
  <si>
    <t>Neurochirurgie</t>
  </si>
  <si>
    <t>PPBV / PPR 2.0 – Soll/Ist-Personalbemessung</t>
  </si>
  <si>
    <t>Verpflichtend seit 01.07.2024 für somatische Normalstationen Erwachsene + Kinder + Kinder-Intensiv</t>
  </si>
  <si>
    <t>Pat. A1</t>
  </si>
  <si>
    <t>Pat. A2</t>
  </si>
  <si>
    <t>Pat. A3</t>
  </si>
  <si>
    <t>Pat. A4</t>
  </si>
  <si>
    <t>Soll-VZÄ</t>
  </si>
  <si>
    <t>Ist-VZÄ</t>
  </si>
  <si>
    <t>Erfüllung %</t>
  </si>
  <si>
    <t>🔧 PPR 2.0 Faktoren (Minuten/Patient/Schicht – Tagdienst Erwachsene)</t>
  </si>
  <si>
    <t>A1 Grundpflege Stufe 1</t>
  </si>
  <si>
    <t>A2</t>
  </si>
  <si>
    <t>A3</t>
  </si>
  <si>
    <t>A4 max.</t>
  </si>
  <si>
    <t>ℹ  PPBV-Quartalsmeldung</t>
  </si>
  <si>
    <t>Die monatlichen Soll-/Ist-Werte sind quartalsweise an InEK zu übermitteln. Die hier hinterlegten Faktoren sind eine Vereinfachung – die exakten PPR 2.0-Werte hängen von der konkreten Patientenkategorisierung ab und werden über das InEK-Datenportal aktualisiert.</t>
  </si>
  <si>
    <t>Bereitschaftsdienst &amp; Rufbereitschaft</t>
  </si>
  <si>
    <t>BD zählt zur Arbeitszeit · RB zählt zur Ruhezeit (kann Ruhezeit unterbrechen)</t>
  </si>
  <si>
    <t>Bernd Muster</t>
  </si>
  <si>
    <t>Inhouse-BD</t>
  </si>
  <si>
    <t>Frank Schicht</t>
  </si>
  <si>
    <t>Telefon-RB</t>
  </si>
  <si>
    <t>ℹ  BD vs. RB – Rechtsprechung</t>
  </si>
  <si>
    <t>Bereitschaftsdienst zählt vollständig als Arbeitszeit i.S.d. ArbZG (EuGH SIMAP/Jaeger). Rufbereitschaft zählt als Ruhezeit, kann aber durch Einsätze unterbrochen werden – die tatsächliche Einsatzzeit wird wieder zur Arbeitszeit und kann die 11h-Ruhezeit (§ 5 ArbZG) verletzen.</t>
  </si>
  <si>
    <t>TVöD-P / TVöD-K Zulagen ab 01.07.2025</t>
  </si>
  <si>
    <t>Wechselschicht- und Schichtzulagen automatisch berechnet</t>
  </si>
  <si>
    <t>Anstellung</t>
  </si>
  <si>
    <t>Wechselschicht-Tage</t>
  </si>
  <si>
    <t>Anspruch (€/Mo.)</t>
  </si>
  <si>
    <t>Schichtzulage</t>
  </si>
  <si>
    <t>Stunden-Zuschl.</t>
  </si>
  <si>
    <t>Summe (€)</t>
  </si>
  <si>
    <t>Pflege</t>
  </si>
  <si>
    <t>GESAMT</t>
  </si>
  <si>
    <t>ℹ  TVöD-Zulagen ab 01.07.2025 (Tarifeinigung 2025)</t>
  </si>
  <si>
    <t>Wechselschichtzulage (ständig) Krankenhaus/Pflege: 250 €/Monat (TVöD-V: 200 €). Bei nicht ständiger Wechselschicht: 1,49 €/Std. (TVöD-K) bzw. 1,47 €/Std. (TVöD-B). Schichtzulage (ständig): 100 €/Monat. Pflegezulage dynamisch nach Tarifrunde.</t>
  </si>
  <si>
    <t>Arbeitsmedizinische Untersuchung Nachtarbeitnehmer (§ 6 Abs. 3 ArbZG)</t>
  </si>
  <si>
    <t>Anspruch alle 3 Jahre · ab 50. Lebensjahr jährlich · Reminder 60 Tage vor Ablauf</t>
  </si>
  <si>
    <t>Letzte Unt.</t>
  </si>
  <si>
    <t>Nächste fällig</t>
  </si>
  <si>
    <t>KPI-Dashboard</t>
  </si>
  <si>
    <t>Auslastung · Personalkosten · Zuschläge · Krankenquote · Mehrarbeit</t>
  </si>
  <si>
    <t>📈 Kennzahlen Übersicht (aktueller Plan-Monat)</t>
  </si>
  <si>
    <t>Plan-Stunden gesamt</t>
  </si>
  <si>
    <t>Frühschichten</t>
  </si>
  <si>
    <t>Nachtschichten</t>
  </si>
  <si>
    <t>Sonntagseinsätze</t>
  </si>
  <si>
    <t>Krank-Einträge</t>
  </si>
  <si>
    <t>💶 Personalkosten je Mitarbeiter</t>
  </si>
  <si>
    <t>Plan-Std.</t>
  </si>
  <si>
    <t>Stundenlohn</t>
  </si>
  <si>
    <t>Brutto-Lohn</t>
  </si>
  <si>
    <t>AG-Kosten (×1,22)</t>
  </si>
  <si>
    <t>SUMME</t>
  </si>
  <si>
    <t>ℹ  Tipp: Pivot-Tabellen anlegen</t>
  </si>
  <si>
    <t>Für tiefere Auswertungen (Standort × Monat, Tarif × Schichtart, MA × Stunden-Trend) markieren Sie Zeilen 17:27 und legen über Einfügen → Pivot-Tabelle eine Pivot mit Datenschnitten an. Power Query erlaubt Multi-Standort-Konsolidierung.</t>
  </si>
  <si>
    <t>Personalkosten-Forecast</t>
  </si>
  <si>
    <t>Plan-Kosten je Schicht inkl. § 3b EStG-Zuschläge und AG-Anteil</t>
  </si>
  <si>
    <t>💸 Detail-Aufschlüsselung Plan-Stunden × Schichtart</t>
  </si>
  <si>
    <t>Mitarbeiter</t>
  </si>
  <si>
    <t>Std. F</t>
  </si>
  <si>
    <t>Std. S</t>
  </si>
  <si>
    <t>Std. N</t>
  </si>
  <si>
    <t>So-Std.</t>
  </si>
  <si>
    <t>Zuschläge (€)</t>
  </si>
  <si>
    <t>Plan-Kosten (€, AG)</t>
  </si>
  <si>
    <t>ℹ  Berechnungslogik</t>
  </si>
  <si>
    <t>Plan-Kosten = (Std. × Stundenlohn + Zuschläge nach § 3b EStG) × 1.22 (AG-Anteil Sozialversicherung). Die Zuschlagssätze sind in '⚙️ Einstellungen' B40-B47 hinterlegt und überschreibbar. Hinweis: Steuerfreie Zuschläge nach § 3b EStG werden hier zur reinen Personalkosten-Kalkulation berechnet – die steuerliche Behandlung erfolgt in der Lohnabrechnung.</t>
  </si>
  <si>
    <t>Aushang (DSGVO-konform)</t>
  </si>
  <si>
    <t>Pseudonymisierte Druckansicht – nur Mitarbeiter mit Einwilligung erscheinen mit Namen</t>
  </si>
  <si>
    <t>Anzeige-Modus:</t>
  </si>
  <si>
    <t>Anzeige</t>
  </si>
  <si>
    <t>⚠  DSGVO-Hinweis – Aushang nur mit Einwilligung</t>
  </si>
  <si>
    <t>Ein Aushang mit Klarnamen ist eine Verarbeitung personenbezogener Daten und benötigt grundsätzlich die Einwilligung der Mitarbeiter (Art. 6 DSGVO, § 26 BDSG). Der Modus 'Initialen' oder 'MA-ID' ist datenschutzfreundlich. Mitarbeiter ohne Einwilligung erscheinen auch im 'Klarnamen'-Modus mit Initialen + Hinweis '(anonym)'.</t>
  </si>
  <si>
    <t>ℹ  Mitbestimmung – § 87 BetrVG</t>
  </si>
  <si>
    <t>Vor dem Aushang muss der Betriebsrat dem Schichtplan zugestimmt haben. Der BR-Status wird in '📋 Plan Monat' Zelle E4 verwaltet und im Compliance-Cockpit überwacht.</t>
  </si>
  <si>
    <t>Änderungshistorie / Audit-Trail</t>
  </si>
  <si>
    <t>MiLoG § 17: Aufzeichnung 2 Jahre aufbewahren · BR-Eilfälle dokumentieren · Datenschutz-relevante Eingriffe protokollieren</t>
  </si>
  <si>
    <t>Uhrzeit</t>
  </si>
  <si>
    <t>User</t>
  </si>
  <si>
    <t>Sheet/Bereich</t>
  </si>
  <si>
    <t>Geänderte Zelle</t>
  </si>
  <si>
    <t>Alt-Wert</t>
  </si>
  <si>
    <t>Neu-Wert / Begründung</t>
  </si>
  <si>
    <t>BR-Info</t>
  </si>
  <si>
    <t>08:15</t>
  </si>
  <si>
    <t>Plan Monat</t>
  </si>
  <si>
    <t>C7 (Anna Beispiel, 01.05.)</t>
  </si>
  <si>
    <t>S – Tausch nach Wunsch MA</t>
  </si>
  <si>
    <t>Info BR</t>
  </si>
  <si>
    <t>14:32</t>
  </si>
  <si>
    <t>K9 (Clara Demo, 09.05.)</t>
  </si>
  <si>
    <t>K – Krankmeldung</t>
  </si>
  <si>
    <t>09:00</t>
  </si>
  <si>
    <t>L9 (Clara Demo)</t>
  </si>
  <si>
    <t>Ja – Einwilligung erteilt</t>
  </si>
  <si>
    <t>⚠  MiLoG § 17 – Aufzeichnungspflicht</t>
  </si>
  <si>
    <t>Beginn, Ende und Dauer der täglichen Arbeitszeit sind spätestens 7 Tage nach Erbringung der Arbeitsleistung aufzuzeichnen und 2 Jahre aufzubewahren. Gilt für Minijobber sowie alle Branchen nach § 2a SchwarzArbG (Bau, Gastro, Logistik, Reinigung, Fleisch, Wach, Forst, Schausteller, Messe).</t>
  </si>
  <si>
    <t>ℹ  BAG-Rechtsprechung – BR-Mitbestimmung bei Eilfällen</t>
  </si>
  <si>
    <t>Auch eilige Schichtplan-Änderungen sind nach § 87 Abs. 1 Nr. 2/3 BetrVG mitbestimmungspflichtig. Trotz Eile sollte der BR informiert werden – die Dokumentation hier dient als Nachweis.</t>
  </si>
  <si>
    <t>M.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</si>
</sst>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quot;€ &quot;#,##0.00"/>
    <numFmt numFmtId="167" formatCode="dd\.mm\.yyyy"/>
    <numFmt numFmtId="168" formatCode="0.0"/>
    <numFmt numFmtId="169" formatCode="mmmm\ yyyy"/>
    <numFmt numFmtId="170" formatCode="dd"/>
    <numFmt numFmtId="171" formatCode="&quot;TTT &quot;dd\.mm"/>
  </numFmts>
  <fonts count="45" x14ac:knownFonts="1">
    <font>
      <sz val="11"/>
      <color theme="1"/>
      <name val="Calibri"/>
      <family val="2"/>
      <charset val="1"/>
    </font>
    <font>
      <b/>
      <sz val="22"/>
      <color rgb="FF1A5276"/>
      <name val="Arial"/>
      <charset val="1"/>
    </font>
    <font>
      <b/>
      <sz val="16"/>
      <color rgb="FF212F3D"/>
      <name val="Arial"/>
      <charset val="1"/>
    </font>
    <font>
      <sz val="9"/>
      <color rgb="FF5D6D7E"/>
      <name val="Arial"/>
      <charset val="1"/>
    </font>
    <font>
      <i/>
      <sz val="10"/>
      <color rgb="FF5D6D7E"/>
      <name val="Arial"/>
      <charset val="1"/>
    </font>
    <font>
      <b/>
      <sz val="14"/>
      <color rgb="FF1A5276"/>
      <name val="Arial"/>
      <charset val="1"/>
    </font>
    <font>
      <b/>
      <sz val="9"/>
      <color rgb="FFFFFFFF"/>
      <name val="Arial"/>
      <charset val="1"/>
    </font>
    <font>
      <b/>
      <sz val="20"/>
      <color rgb="FF27AE60"/>
      <name val="Arial"/>
      <charset val="1"/>
    </font>
    <font>
      <b/>
      <sz val="20"/>
      <color rgb="FFC0392B"/>
      <name val="Arial"/>
      <charset val="1"/>
    </font>
    <font>
      <b/>
      <sz val="20"/>
      <color rgb="FF1A5276"/>
      <name val="Arial"/>
      <charset val="1"/>
    </font>
    <font>
      <b/>
      <sz val="20"/>
      <color rgb="FF2E86C1"/>
      <name val="Arial"/>
      <charset val="1"/>
    </font>
    <font>
      <b/>
      <sz val="11"/>
      <color rgb="FF1A5276"/>
      <name val="Arial"/>
      <charset val="1"/>
    </font>
    <font>
      <b/>
      <sz val="10"/>
      <color rgb="FF2E86C1"/>
      <name val="Arial"/>
      <charset val="1"/>
    </font>
    <font>
      <i/>
      <sz val="9"/>
      <color rgb="FF5D6D7E"/>
      <name val="Arial"/>
      <charset val="1"/>
    </font>
    <font>
      <sz val="10"/>
      <color rgb="FF212F3D"/>
      <name val="Arial"/>
      <charset val="1"/>
    </font>
    <font>
      <b/>
      <sz val="11"/>
      <color rgb="FFE67E22"/>
      <name val="Arial"/>
      <charset val="1"/>
    </font>
    <font>
      <b/>
      <sz val="10"/>
      <color rgb="FF1A5276"/>
      <name val="Arial"/>
      <charset val="1"/>
    </font>
    <font>
      <b/>
      <sz val="10"/>
      <color rgb="FF212F3D"/>
      <name val="Arial"/>
      <charset val="1"/>
    </font>
    <font>
      <sz val="10"/>
      <color rgb="FF0000FF"/>
      <name val="Arial"/>
      <charset val="1"/>
    </font>
    <font>
      <b/>
      <sz val="10"/>
      <color rgb="FFFFFFFF"/>
      <name val="Arial"/>
      <charset val="1"/>
    </font>
    <font>
      <sz val="10"/>
      <color rgb="FF5D6D7E"/>
      <name val="Arial"/>
      <charset val="1"/>
    </font>
    <font>
      <i/>
      <sz val="8"/>
      <color rgb="FF5D6D7E"/>
      <name val="Arial"/>
      <charset val="1"/>
    </font>
    <font>
      <i/>
      <sz val="8"/>
      <color rgb="FF2E86C1"/>
      <name val="Arial"/>
      <charset val="1"/>
    </font>
    <font>
      <b/>
      <sz val="10"/>
      <color rgb="FF27AE60"/>
      <name val="Arial"/>
      <charset val="1"/>
    </font>
    <font>
      <sz val="10"/>
      <color rgb="FF27AE60"/>
      <name val="Arial"/>
      <charset val="1"/>
    </font>
    <font>
      <sz val="9"/>
      <color rgb="FF0000FF"/>
      <name val="Arial"/>
      <charset val="1"/>
    </font>
    <font>
      <b/>
      <sz val="11"/>
      <color rgb="FF2980B9"/>
      <name val="Arial"/>
      <charset val="1"/>
    </font>
    <font>
      <b/>
      <sz val="10"/>
      <color rgb="FF0000FF"/>
      <name val="Arial"/>
      <charset val="1"/>
    </font>
    <font>
      <sz val="8"/>
      <color rgb="FF5D6D7E"/>
      <name val="Arial"/>
      <charset val="1"/>
    </font>
    <font>
      <b/>
      <sz val="11"/>
      <color rgb="FF0000FF"/>
      <name val="Arial"/>
      <charset val="1"/>
    </font>
    <font>
      <b/>
      <sz val="8"/>
      <color rgb="FF5D6D7E"/>
      <name val="Arial"/>
      <charset val="1"/>
    </font>
    <font>
      <b/>
      <sz val="9"/>
      <color rgb="FF212F3D"/>
      <name val="Arial"/>
      <charset val="1"/>
    </font>
    <font>
      <b/>
      <sz val="11"/>
      <color rgb="FF212F3D"/>
      <name val="Arial"/>
      <charset val="1"/>
    </font>
    <font>
      <b/>
      <sz val="28"/>
      <color rgb="FF27AE60"/>
      <name val="Arial"/>
      <charset val="1"/>
    </font>
    <font>
      <b/>
      <sz val="13"/>
      <color rgb="FF1A5276"/>
      <name val="Arial"/>
      <charset val="1"/>
    </font>
    <font>
      <i/>
      <sz val="9"/>
      <color rgb="FF2980B9"/>
      <name val="Arial"/>
      <charset val="1"/>
    </font>
    <font>
      <sz val="9"/>
      <color rgb="FF212F3D"/>
      <name val="Arial"/>
      <charset val="1"/>
    </font>
    <font>
      <b/>
      <sz val="11"/>
      <color rgb="FFFFFFFF"/>
      <name val="Arial"/>
      <charset val="1"/>
    </font>
    <font>
      <b/>
      <sz val="20"/>
      <color rgb="FF8E44AD"/>
      <name val="Arial"/>
      <charset val="1"/>
    </font>
    <font>
      <b/>
      <sz val="20"/>
      <color rgb="FFE67E22"/>
      <name val="Arial"/>
      <charset val="1"/>
    </font>
    <font>
      <b/>
      <sz val="10"/>
      <color rgb="FFE67E22"/>
      <name val="Arial"/>
      <charset val="1"/>
    </font>
    <font>
      <sz val="11"/>
      <color rgb="FF212F3D"/>
      <name val="Arial"/>
      <charset val="1"/>
    </font>
    <font>
      <b/>
      <sz val="12"/>
      <color rgb="FF212F3D"/>
      <name val="Arial"/>
      <charset val="1"/>
    </font>
    <font>
      <sz val="10"/>
      <color rgb="FFC0392B"/>
      <name val="Arial"/>
      <charset val="1"/>
    </font>
    <font>
      <sz val="10"/>
      <color rgb="FF2980B9"/>
      <name val="Arial"/>
      <charset val="1"/>
    </font>
  </fonts>
  <fills count="13">
    <fill>
      <patternFill patternType="none"/>
    </fill>
    <fill>
      <patternFill patternType="gray125"/>
    </fill>
    <fill>
      <patternFill patternType="solid">
        <fgColor rgb="FF1A5276"/>
        <bgColor rgb="FF0E3A55"/>
      </patternFill>
    </fill>
    <fill>
      <patternFill patternType="solid">
        <fgColor rgb="FF27AE60"/>
        <bgColor rgb="FF008080"/>
      </patternFill>
    </fill>
    <fill>
      <patternFill patternType="solid">
        <fgColor rgb="FFC0392B"/>
        <bgColor rgb="FF993366"/>
      </patternFill>
    </fill>
    <fill>
      <patternFill patternType="solid">
        <fgColor rgb="FF2E86C1"/>
        <bgColor rgb="FF2980B9"/>
      </patternFill>
    </fill>
    <fill>
      <patternFill patternType="solid">
        <fgColor rgb="FFFFFFFF"/>
        <bgColor rgb="FFF8F9FA"/>
      </patternFill>
    </fill>
    <fill>
      <patternFill patternType="solid">
        <fgColor rgb="FFFAE5D3"/>
        <bgColor rgb="FFFADBD8"/>
      </patternFill>
    </fill>
    <fill>
      <patternFill patternType="solid">
        <fgColor rgb="FFEBF5FB"/>
        <bgColor rgb="FFF8F9FA"/>
      </patternFill>
    </fill>
    <fill>
      <patternFill patternType="solid">
        <fgColor rgb="FFF8F9FA"/>
        <bgColor rgb="FFFFFFFF"/>
      </patternFill>
    </fill>
    <fill>
      <patternFill patternType="solid">
        <fgColor rgb="FFD6EAF8"/>
        <bgColor rgb="FFD5F5E3"/>
      </patternFill>
    </fill>
    <fill>
      <patternFill patternType="solid">
        <fgColor rgb="FF8E44AD"/>
        <bgColor rgb="FF993366"/>
      </patternFill>
    </fill>
    <fill>
      <patternFill patternType="solid">
        <fgColor rgb="FFE67E22"/>
        <bgColor rgb="FFFF9900"/>
      </patternFill>
    </fill>
  </fills>
  <borders count="9">
    <border>
      <left/>
      <right/>
      <top/>
      <bottom/>
      <diagonal/>
    </border>
    <border>
      <left style="medium">
        <color rgb="FF27AE60"/>
      </left>
      <right style="medium">
        <color rgb="FF27AE60"/>
      </right>
      <top style="medium">
        <color rgb="FF27AE60"/>
      </top>
      <bottom style="medium">
        <color rgb="FF27AE60"/>
      </bottom>
      <diagonal/>
    </border>
    <border>
      <left style="medium">
        <color rgb="FFC0392B"/>
      </left>
      <right style="medium">
        <color rgb="FFC0392B"/>
      </right>
      <top style="medium">
        <color rgb="FFC0392B"/>
      </top>
      <bottom style="medium">
        <color rgb="FFC0392B"/>
      </bottom>
      <diagonal/>
    </border>
    <border>
      <left style="medium">
        <color rgb="FF1A5276"/>
      </left>
      <right style="medium">
        <color rgb="FF1A5276"/>
      </right>
      <top style="medium">
        <color rgb="FF1A5276"/>
      </top>
      <bottom style="medium">
        <color rgb="FF1A5276"/>
      </bottom>
      <diagonal/>
    </border>
    <border>
      <left style="medium">
        <color rgb="FF2E86C1"/>
      </left>
      <right style="medium">
        <color rgb="FF2E86C1"/>
      </right>
      <top style="medium">
        <color rgb="FF2E86C1"/>
      </top>
      <bottom style="medium">
        <color rgb="FF2E86C1"/>
      </bottom>
      <diagonal/>
    </border>
    <border>
      <left style="thin">
        <color rgb="FFBDC3C7"/>
      </left>
      <right style="thin">
        <color rgb="FFBDC3C7"/>
      </right>
      <top style="thin">
        <color rgb="FFBDC3C7"/>
      </top>
      <bottom style="thin">
        <color rgb="FFBDC3C7"/>
      </bottom>
      <diagonal/>
    </border>
    <border>
      <left style="thin">
        <color rgb="FF0E3A55"/>
      </left>
      <right style="thin">
        <color rgb="FF0E3A55"/>
      </right>
      <top style="thin">
        <color rgb="FF0E3A55"/>
      </top>
      <bottom style="thin">
        <color rgb="FF0E3A55"/>
      </bottom>
      <diagonal/>
    </border>
    <border>
      <left style="medium">
        <color rgb="FF8E44AD"/>
      </left>
      <right style="medium">
        <color rgb="FF8E44AD"/>
      </right>
      <top style="medium">
        <color rgb="FF8E44AD"/>
      </top>
      <bottom style="medium">
        <color rgb="FF8E44AD"/>
      </bottom>
      <diagonal/>
    </border>
    <border>
      <left style="medium">
        <color rgb="FFE67E22"/>
      </left>
      <right style="medium">
        <color rgb="FFE67E22"/>
      </right>
      <top style="medium">
        <color rgb="FFE67E22"/>
      </top>
      <bottom style="medium">
        <color rgb="FFE67E22"/>
      </bottom>
      <diagonal/>
    </border>
  </borders>
  <cellStyleXfs count="1">
    <xf numFmtId="0" fontId="0" fillId="0" borderId="0"/>
  </cellStyleXfs>
  <cellXfs count="122">
    <xf numFmtId="0" fontId="0" fillId="0" borderId="0" xfId="0"/>
    <xf numFmtId="0" fontId="14" fillId="7" borderId="0" xfId="0" applyFont="1" applyFill="1" applyBorder="1" applyAlignment="1">
      <alignment horizontal="left" vertical="top" wrapText="1"/>
    </xf>
    <xf numFmtId="0" fontId="15" fillId="7" borderId="0" xfId="0" applyFont="1" applyFill="1" applyBorder="1" applyAlignment="1">
      <alignment horizontal="left" vertical="center" wrapText="1"/>
    </xf>
    <xf numFmtId="0" fontId="14" fillId="0" borderId="0" xfId="0" applyFont="1" applyBorder="1"/>
    <xf numFmtId="0" fontId="13" fillId="0" borderId="0" xfId="0" applyFont="1" applyBorder="1" applyAlignment="1">
      <alignment horizontal="left" vertical="center" wrapText="1"/>
    </xf>
    <xf numFmtId="0" fontId="11" fillId="0" borderId="0" xfId="0" applyFont="1" applyBorder="1" applyAlignment="1">
      <alignment horizontal="left" vertical="center" wrapText="1"/>
    </xf>
    <xf numFmtId="1" fontId="10" fillId="6" borderId="4" xfId="0" applyNumberFormat="1" applyFont="1" applyFill="1" applyBorder="1" applyAlignment="1">
      <alignment horizontal="center" vertical="center" wrapText="1"/>
    </xf>
    <xf numFmtId="1" fontId="9" fillId="6" borderId="3" xfId="0" applyNumberFormat="1"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0" borderId="0" xfId="0" applyFont="1" applyBorder="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2" borderId="0" xfId="0" applyFill="1"/>
    <xf numFmtId="0" fontId="12" fillId="0" borderId="0" xfId="0" applyFont="1" applyAlignment="1">
      <alignment horizontal="center" vertical="center" wrapText="1"/>
    </xf>
    <xf numFmtId="0" fontId="16" fillId="8" borderId="5" xfId="0" applyFont="1" applyFill="1" applyBorder="1" applyAlignment="1">
      <alignment horizontal="center" vertical="center" wrapText="1"/>
    </xf>
    <xf numFmtId="0" fontId="17" fillId="9" borderId="5" xfId="0" applyFont="1" applyFill="1" applyBorder="1"/>
    <xf numFmtId="0" fontId="18" fillId="6" borderId="5"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6" borderId="5" xfId="0" applyFill="1" applyBorder="1"/>
    <xf numFmtId="0" fontId="14" fillId="0" borderId="5" xfId="0" applyFont="1" applyBorder="1"/>
    <xf numFmtId="165" fontId="18" fillId="0" borderId="5" xfId="0" applyNumberFormat="1" applyFont="1" applyBorder="1" applyAlignment="1">
      <alignment horizontal="right" vertical="center" wrapText="1"/>
    </xf>
    <xf numFmtId="166" fontId="18"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4" fillId="0" borderId="5"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xf numFmtId="0" fontId="22" fillId="0" borderId="0" xfId="0" applyFont="1"/>
    <xf numFmtId="0" fontId="18" fillId="0" borderId="5" xfId="0" applyFont="1" applyBorder="1" applyAlignment="1">
      <alignment horizontal="center" vertical="center" wrapText="1"/>
    </xf>
    <xf numFmtId="167" fontId="18" fillId="0" borderId="5" xfId="0" applyNumberFormat="1" applyFont="1" applyBorder="1" applyAlignment="1">
      <alignment horizontal="center" vertical="center" wrapText="1"/>
    </xf>
    <xf numFmtId="168" fontId="18" fillId="0" borderId="5" xfId="0" applyNumberFormat="1" applyFont="1" applyBorder="1" applyAlignment="1">
      <alignment horizontal="center" vertical="center" wrapText="1"/>
    </xf>
    <xf numFmtId="166" fontId="18" fillId="0" borderId="5" xfId="0" applyNumberFormat="1"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xf numFmtId="167" fontId="0" fillId="0" borderId="5" xfId="0" applyNumberFormat="1" applyBorder="1"/>
    <xf numFmtId="168" fontId="0" fillId="0" borderId="5" xfId="0" applyNumberFormat="1" applyBorder="1"/>
    <xf numFmtId="166" fontId="0" fillId="0" borderId="5" xfId="0" applyNumberFormat="1" applyBorder="1"/>
    <xf numFmtId="0" fontId="6" fillId="2" borderId="6" xfId="0" applyFont="1" applyFill="1" applyBorder="1" applyAlignment="1">
      <alignment horizontal="center" vertical="center" wrapText="1"/>
    </xf>
    <xf numFmtId="0" fontId="24" fillId="0" borderId="0" xfId="0" applyFont="1"/>
    <xf numFmtId="0" fontId="2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0" fillId="0" borderId="5" xfId="0" applyBorder="1" applyAlignment="1">
      <alignment horizontal="center" vertical="center" wrapText="1"/>
    </xf>
    <xf numFmtId="166" fontId="14" fillId="0" borderId="5" xfId="0" applyNumberFormat="1" applyFont="1" applyBorder="1" applyAlignment="1">
      <alignment horizontal="right" vertical="center" wrapText="1"/>
    </xf>
    <xf numFmtId="167" fontId="14" fillId="0" borderId="5" xfId="0" applyNumberFormat="1" applyFont="1" applyBorder="1" applyAlignment="1">
      <alignment horizontal="center" vertical="center" wrapText="1"/>
    </xf>
    <xf numFmtId="0" fontId="17" fillId="0" borderId="0" xfId="0" applyFont="1"/>
    <xf numFmtId="169" fontId="27" fillId="0" borderId="0" xfId="0" applyNumberFormat="1" applyFont="1"/>
    <xf numFmtId="170" fontId="6" fillId="2" borderId="6"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9" fontId="29" fillId="0" borderId="0" xfId="0" applyNumberFormat="1" applyFont="1"/>
    <xf numFmtId="0" fontId="27" fillId="0" borderId="0" xfId="0" applyFont="1"/>
    <xf numFmtId="167" fontId="18" fillId="0" borderId="0" xfId="0" applyNumberFormat="1" applyFont="1"/>
    <xf numFmtId="0" fontId="6" fillId="5" borderId="6" xfId="0" applyFont="1" applyFill="1" applyBorder="1" applyAlignment="1">
      <alignment horizontal="center" vertical="center" wrapText="1"/>
    </xf>
    <xf numFmtId="0" fontId="30"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5" xfId="0" applyBorder="1" applyAlignment="1">
      <alignment horizontal="center" vertical="center" wrapText="1"/>
    </xf>
    <xf numFmtId="0" fontId="16" fillId="0" borderId="0" xfId="0" applyFont="1"/>
    <xf numFmtId="0" fontId="31" fillId="0" borderId="5" xfId="0" applyFont="1" applyBorder="1" applyAlignment="1">
      <alignment horizontal="center" vertical="center" wrapText="1"/>
    </xf>
    <xf numFmtId="167" fontId="29" fillId="0" borderId="0" xfId="0" applyNumberFormat="1" applyFont="1"/>
    <xf numFmtId="167" fontId="32" fillId="0" borderId="0" xfId="0" applyNumberFormat="1" applyFont="1"/>
    <xf numFmtId="171" fontId="19" fillId="2" borderId="6"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33" fillId="6"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17" fillId="0" borderId="5" xfId="0" applyFont="1" applyBorder="1" applyAlignment="1">
      <alignment horizontal="left" vertical="center" wrapText="1"/>
    </xf>
    <xf numFmtId="0" fontId="3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3" fillId="0" borderId="5" xfId="0" applyFont="1" applyBorder="1" applyAlignment="1">
      <alignment horizontal="left" vertical="top" wrapText="1"/>
    </xf>
    <xf numFmtId="168" fontId="14" fillId="0" borderId="5" xfId="0" applyNumberFormat="1" applyFont="1" applyBorder="1" applyAlignment="1">
      <alignment horizontal="center" vertical="center" wrapText="1"/>
    </xf>
    <xf numFmtId="168" fontId="17" fillId="0" borderId="5"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36" fillId="0" borderId="5" xfId="0" applyFont="1" applyBorder="1"/>
    <xf numFmtId="9" fontId="0" fillId="0" borderId="5" xfId="0" applyNumberFormat="1" applyBorder="1"/>
    <xf numFmtId="0" fontId="3" fillId="0" borderId="5" xfId="0" applyFont="1" applyBorder="1"/>
    <xf numFmtId="0" fontId="36" fillId="0" borderId="5" xfId="0" applyFont="1" applyBorder="1" applyAlignment="1">
      <alignment horizontal="left" vertical="center" wrapText="1"/>
    </xf>
    <xf numFmtId="0" fontId="36" fillId="0" borderId="5" xfId="0" applyFont="1" applyBorder="1" applyAlignment="1">
      <alignment horizontal="center" vertical="center" wrapText="1"/>
    </xf>
    <xf numFmtId="9" fontId="36" fillId="0" borderId="5"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0" fontId="29" fillId="0" borderId="5" xfId="0" applyFont="1" applyBorder="1" applyAlignment="1">
      <alignment horizontal="center" vertical="center" wrapText="1"/>
    </xf>
    <xf numFmtId="20" fontId="18" fillId="0" borderId="5" xfId="0" applyNumberFormat="1" applyFont="1" applyBorder="1" applyAlignment="1">
      <alignment horizontal="center" vertical="center" wrapText="1"/>
    </xf>
    <xf numFmtId="168" fontId="16"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166" fontId="0" fillId="0" borderId="5" xfId="0" applyNumberFormat="1" applyBorder="1" applyAlignment="1">
      <alignment horizontal="center" vertical="center" wrapText="1"/>
    </xf>
    <xf numFmtId="0" fontId="37" fillId="2" borderId="0" xfId="0" applyFont="1" applyFill="1" applyAlignment="1">
      <alignment horizontal="center" vertical="center" wrapText="1"/>
    </xf>
    <xf numFmtId="166" fontId="37" fillId="2" borderId="3" xfId="0" applyNumberFormat="1" applyFont="1" applyFill="1" applyBorder="1" applyAlignment="1">
      <alignment horizontal="center" vertical="center" wrapText="1"/>
    </xf>
    <xf numFmtId="167" fontId="17" fillId="0" borderId="5" xfId="0" applyNumberFormat="1" applyFont="1" applyBorder="1" applyAlignment="1">
      <alignment horizontal="center" vertical="center" wrapText="1"/>
    </xf>
    <xf numFmtId="166" fontId="14" fillId="0" borderId="5"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0" fontId="0" fillId="0" borderId="3" xfId="0" applyBorder="1"/>
    <xf numFmtId="0" fontId="37" fillId="2" borderId="3" xfId="0" applyFont="1" applyFill="1" applyBorder="1" applyAlignment="1">
      <alignment horizontal="center" vertical="center" wrapText="1"/>
    </xf>
    <xf numFmtId="166" fontId="40" fillId="0" borderId="5" xfId="0" applyNumberFormat="1" applyFont="1" applyBorder="1" applyAlignment="1">
      <alignment horizontal="center" vertical="center" wrapText="1"/>
    </xf>
    <xf numFmtId="0" fontId="37" fillId="2" borderId="3" xfId="0" applyFont="1" applyFill="1" applyBorder="1"/>
    <xf numFmtId="0" fontId="37" fillId="2" borderId="6" xfId="0" applyFont="1" applyFill="1" applyBorder="1" applyAlignment="1">
      <alignment horizontal="center" vertical="center" wrapText="1"/>
    </xf>
    <xf numFmtId="171" fontId="37" fillId="2" borderId="6" xfId="0" applyNumberFormat="1" applyFont="1" applyFill="1" applyBorder="1" applyAlignment="1">
      <alignment horizontal="center" vertical="center" wrapText="1"/>
    </xf>
    <xf numFmtId="0" fontId="41" fillId="0" borderId="5" xfId="0" applyFont="1" applyBorder="1" applyAlignment="1">
      <alignment horizontal="center" vertical="center" wrapText="1"/>
    </xf>
    <xf numFmtId="0" fontId="32" fillId="0" borderId="5" xfId="0" applyFont="1" applyBorder="1" applyAlignment="1">
      <alignment horizontal="left" vertical="center" wrapText="1"/>
    </xf>
    <xf numFmtId="0" fontId="42" fillId="0" borderId="5" xfId="0" applyFont="1" applyBorder="1" applyAlignment="1">
      <alignment horizontal="center" vertical="center" wrapText="1"/>
    </xf>
    <xf numFmtId="0" fontId="43" fillId="0" borderId="5" xfId="0" applyFont="1" applyBorder="1" applyAlignment="1">
      <alignment horizontal="center" vertical="center" wrapText="1"/>
    </xf>
    <xf numFmtId="0" fontId="24" fillId="0" borderId="5" xfId="0" applyFont="1" applyBorder="1" applyAlignment="1">
      <alignment horizontal="left" vertical="center" wrapText="1"/>
    </xf>
    <xf numFmtId="0" fontId="44" fillId="0" borderId="5" xfId="0" applyFont="1" applyBorder="1" applyAlignment="1">
      <alignment horizontal="center" vertical="center" wrapText="1"/>
    </xf>
    <xf numFmtId="0" fontId="13" fillId="0" borderId="0" xfId="0" applyFont="1" applyBorder="1"/>
    <xf numFmtId="0" fontId="26" fillId="10" borderId="0" xfId="0" applyFont="1" applyFill="1" applyBorder="1" applyAlignment="1">
      <alignment horizontal="left" vertical="center" wrapText="1"/>
    </xf>
    <xf numFmtId="0" fontId="14" fillId="10" borderId="0" xfId="0" applyFont="1" applyFill="1" applyBorder="1" applyAlignment="1">
      <alignment horizontal="left" vertical="top" wrapText="1"/>
    </xf>
    <xf numFmtId="0" fontId="32" fillId="0" borderId="0" xfId="0" applyFont="1" applyBorder="1"/>
    <xf numFmtId="0" fontId="34" fillId="0" borderId="0" xfId="0" applyFont="1" applyBorder="1"/>
    <xf numFmtId="0" fontId="11" fillId="0" borderId="0" xfId="0" applyFont="1" applyBorder="1"/>
    <xf numFmtId="0" fontId="6" fillId="11" borderId="0" xfId="0" applyFont="1" applyFill="1" applyBorder="1" applyAlignment="1">
      <alignment horizontal="center" vertical="center" wrapText="1"/>
    </xf>
    <xf numFmtId="1" fontId="38" fillId="6" borderId="7" xfId="0" applyNumberFormat="1" applyFont="1" applyFill="1" applyBorder="1" applyAlignment="1">
      <alignment horizontal="center" vertical="center" wrapText="1"/>
    </xf>
    <xf numFmtId="0" fontId="6" fillId="12" borderId="0"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39" fillId="6" borderId="8" xfId="0" applyNumberFormat="1" applyFont="1" applyFill="1" applyBorder="1" applyAlignment="1">
      <alignment horizontal="center" vertical="center" wrapText="1"/>
    </xf>
  </cellXfs>
  <cellStyles count="1">
    <cellStyle name="Standard" xfId="0" builtinId="0"/>
  </cellStyles>
  <dxfs count="31">
    <dxf>
      <font>
        <b/>
        <sz val="12"/>
        <color rgb="FF5D6D7E"/>
        <name val="Arial"/>
      </font>
      <fill>
        <patternFill>
          <bgColor rgb="FFEAECEE"/>
        </patternFill>
      </fill>
    </dxf>
    <dxf>
      <font>
        <b/>
        <sz val="12"/>
        <color rgb="FFC0392B"/>
        <name val="Arial"/>
      </font>
      <fill>
        <patternFill>
          <bgColor rgb="FFFADBD8"/>
        </patternFill>
      </fill>
    </dxf>
    <dxf>
      <font>
        <b/>
        <sz val="12"/>
        <color rgb="FF27AE60"/>
        <name val="Arial"/>
      </font>
      <fill>
        <patternFill>
          <bgColor rgb="FFD5F5E3"/>
        </patternFill>
      </fill>
    </dxf>
    <dxf>
      <font>
        <b/>
        <sz val="12"/>
        <color rgb="FFFFFFFF"/>
        <name val="Arial"/>
      </font>
      <fill>
        <patternFill>
          <bgColor rgb="FFB39DDB"/>
        </patternFill>
      </fill>
    </dxf>
    <dxf>
      <font>
        <b/>
        <sz val="12"/>
        <color rgb="FF212F3D"/>
        <name val="Arial"/>
      </font>
      <fill>
        <patternFill>
          <bgColor rgb="FFFFE0B2"/>
        </patternFill>
      </fill>
    </dxf>
    <dxf>
      <font>
        <b/>
        <sz val="12"/>
        <color rgb="FF212F3D"/>
        <name val="Arial"/>
      </font>
      <fill>
        <patternFill>
          <bgColor rgb="FFFFF9C4"/>
        </patternFill>
      </fill>
    </dxf>
    <dxf>
      <font>
        <b/>
        <sz val="10"/>
        <color rgb="FF27AE60"/>
        <name val="Arial"/>
      </font>
      <fill>
        <patternFill>
          <bgColor rgb="FFD5F5E3"/>
        </patternFill>
      </fill>
    </dxf>
    <dxf>
      <font>
        <b/>
        <sz val="10"/>
        <color rgb="FFE67E22"/>
        <name val="Arial"/>
      </font>
      <fill>
        <patternFill>
          <bgColor rgb="FFFAE5D3"/>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C0392B"/>
        <name val="Arial"/>
      </font>
      <fill>
        <patternFill>
          <bgColor rgb="FFFADBD8"/>
        </patternFill>
      </fill>
    </dxf>
    <dxf>
      <font>
        <b/>
        <sz val="10"/>
        <color rgb="FF5D6D7E"/>
        <name val="Arial"/>
      </font>
      <fill>
        <patternFill>
          <bgColor rgb="FFEAECEE"/>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FFFFFF"/>
        <name val="Arial"/>
      </font>
      <fill>
        <patternFill>
          <bgColor rgb="FFB39DDB"/>
        </patternFill>
      </fill>
    </dxf>
    <dxf>
      <font>
        <b/>
        <sz val="10"/>
        <color rgb="FF212F3D"/>
        <name val="Arial"/>
      </font>
      <fill>
        <patternFill>
          <bgColor rgb="FFFFE0B2"/>
        </patternFill>
      </fill>
    </dxf>
    <dxf>
      <font>
        <b/>
        <sz val="10"/>
        <color rgb="FF212F3D"/>
        <name val="Arial"/>
      </font>
      <fill>
        <patternFill>
          <bgColor rgb="FFFFF9C4"/>
        </patternFill>
      </fill>
    </dxf>
    <dxf>
      <font>
        <b/>
        <sz val="10"/>
        <color rgb="FFC0392B"/>
        <name val="Arial"/>
      </font>
    </dxf>
    <dxf>
      <font>
        <b/>
        <sz val="10"/>
        <color rgb="FFE67E22"/>
        <name val="Arial"/>
      </font>
    </dxf>
    <dxf>
      <font>
        <b/>
        <sz val="10"/>
        <color rgb="FF27AE60"/>
        <name val="Arial"/>
      </font>
    </dxf>
    <dxf>
      <font>
        <b/>
        <sz val="10"/>
        <color rgb="FFC0392B"/>
        <name val="Arial"/>
      </font>
    </dxf>
    <dxf>
      <font>
        <b/>
        <sz val="10"/>
        <color rgb="FFE67E22"/>
        <name val="Arial"/>
      </font>
    </dxf>
    <dxf>
      <font>
        <b/>
        <sz val="10"/>
        <color rgb="FF27AE60"/>
        <name val="Arial"/>
      </font>
    </dxf>
    <dxf>
      <font>
        <b/>
        <sz val="9"/>
        <color rgb="FFFFFFFF"/>
        <name val="Arial"/>
      </font>
      <fill>
        <patternFill>
          <bgColor rgb="FF27AE60"/>
        </patternFill>
      </fill>
    </dxf>
    <dxf>
      <font>
        <b/>
        <sz val="9"/>
        <color rgb="FF27AE60"/>
        <name val="Arial"/>
      </font>
      <fill>
        <patternFill>
          <bgColor rgb="FFD5F5E3"/>
        </patternFill>
      </fill>
    </dxf>
    <dxf>
      <font>
        <sz val="9"/>
        <color rgb="FF212F3D"/>
        <name val="Arial"/>
      </font>
      <fill>
        <patternFill>
          <bgColor rgb="FFFCF3CF"/>
        </patternFill>
      </fill>
    </dxf>
    <dxf>
      <font>
        <sz val="9"/>
        <color rgb="FF5D6D7E"/>
        <name val="Arial"/>
      </font>
      <fill>
        <patternFill>
          <bgColor rgb="FFEAECEE"/>
        </patternFill>
      </fill>
    </dxf>
    <dxf>
      <font>
        <b/>
        <sz val="10"/>
        <color rgb="FF27AE60"/>
        <name val="Arial"/>
      </font>
    </dxf>
    <dxf>
      <font>
        <b/>
        <sz val="10"/>
        <color rgb="FFFFFFFF"/>
        <name val="Arial"/>
      </font>
      <fill>
        <patternFill>
          <bgColor rgb="FFC0392B"/>
        </patternFill>
      </fill>
    </dxf>
  </dxfs>
  <tableStyles count="0" defaultTableStyle="TableStyleMedium2" defaultPivotStyle="PivotStyleLight16"/>
  <colors>
    <indexedColors>
      <rgbColor rgb="FF000000"/>
      <rgbColor rgb="FFFFFFFF"/>
      <rgbColor rgb="FFFF0000"/>
      <rgbColor rgb="FF00FF00"/>
      <rgbColor rgb="FF0000FF"/>
      <rgbColor rgb="FFFAE5D3"/>
      <rgbColor rgb="FFFF00FF"/>
      <rgbColor rgb="FF00FFFF"/>
      <rgbColor rgb="FF800000"/>
      <rgbColor rgb="FF008000"/>
      <rgbColor rgb="FF000080"/>
      <rgbColor rgb="FF808000"/>
      <rgbColor rgb="FF800080"/>
      <rgbColor rgb="FF2980B9"/>
      <rgbColor rgb="FFBDC3C7"/>
      <rgbColor rgb="FF808080"/>
      <rgbColor rgb="FFF3E5F5"/>
      <rgbColor rgb="FF8E44AD"/>
      <rgbColor rgb="FFFFF9C4"/>
      <rgbColor rgb="FFD6EAF8"/>
      <rgbColor rgb="FF660066"/>
      <rgbColor rgb="FFFF8080"/>
      <rgbColor rgb="FF0066CC"/>
      <rgbColor rgb="FFE1BEE7"/>
      <rgbColor rgb="FF000080"/>
      <rgbColor rgb="FFFF00FF"/>
      <rgbColor rgb="FFF8F9FA"/>
      <rgbColor rgb="FF00FFFF"/>
      <rgbColor rgb="FF800080"/>
      <rgbColor rgb="FF800000"/>
      <rgbColor rgb="FF008080"/>
      <rgbColor rgb="FF0000FF"/>
      <rgbColor rgb="FF00CCFF"/>
      <rgbColor rgb="FFEBF5FB"/>
      <rgbColor rgb="FFD5F5E3"/>
      <rgbColor rgb="FFFCF3CF"/>
      <rgbColor rgb="FFEAECEE"/>
      <rgbColor rgb="FFF8BBD0"/>
      <rgbColor rgb="FFB39DDB"/>
      <rgbColor rgb="FFFFE0B2"/>
      <rgbColor rgb="FF2E86C1"/>
      <rgbColor rgb="FF33CCCC"/>
      <rgbColor rgb="FF99CC00"/>
      <rgbColor rgb="FFFADBD8"/>
      <rgbColor rgb="FFFF9900"/>
      <rgbColor rgb="FFE67E22"/>
      <rgbColor rgb="FF5D6D7E"/>
      <rgbColor rgb="FF969696"/>
      <rgbColor rgb="FF0E3A55"/>
      <rgbColor rgb="FF27AE60"/>
      <rgbColor rgb="FF003300"/>
      <rgbColor rgb="FF333300"/>
      <rgbColor rgb="FFC0392B"/>
      <rgbColor rgb="FF993366"/>
      <rgbColor rgb="FF1A5276"/>
      <rgbColor rgb="FF212F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3" topLeftCell="A4" activePane="bottomLeft" state="frozen"/>
      <selection pane="bottomLeft"/>
    </sheetView>
  </sheetViews>
  <sheetFormatPr baseColWidth="10" defaultColWidth="8.7109375" defaultRowHeight="15" x14ac:dyDescent="0.25"/>
  <cols>
    <col min="1" max="1" width="22" customWidth="1"/>
    <col min="2" max="2" width="28" customWidth="1"/>
    <col min="3" max="6" width="18" customWidth="1"/>
    <col min="7" max="7" width="28" customWidth="1"/>
  </cols>
  <sheetData>
    <row r="1" spans="1:29" ht="37.5" customHeight="1" x14ac:dyDescent="0.25">
      <c r="A1" s="15" t="s">
        <v>0</v>
      </c>
      <c r="B1" s="16" t="s">
        <v>1</v>
      </c>
    </row>
    <row r="2" spans="1:29" ht="18" customHeight="1" x14ac:dyDescent="0.25">
      <c r="A2" s="17" t="s">
        <v>2</v>
      </c>
      <c r="B2" s="18" t="s">
        <v>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v>
      </c>
      <c r="B5" s="14"/>
      <c r="C5" s="14"/>
      <c r="D5" s="14"/>
      <c r="E5" s="14"/>
      <c r="F5" s="14"/>
      <c r="G5" s="14"/>
    </row>
    <row r="6" spans="1:29" ht="15" customHeight="1" x14ac:dyDescent="0.25">
      <c r="A6" s="13" t="s">
        <v>5</v>
      </c>
      <c r="B6" s="13"/>
      <c r="C6" s="12" t="s">
        <v>6</v>
      </c>
      <c r="D6" s="12"/>
      <c r="E6" s="11" t="s">
        <v>7</v>
      </c>
      <c r="F6" s="11"/>
      <c r="G6" s="10" t="s">
        <v>8</v>
      </c>
      <c r="H6" s="10"/>
    </row>
    <row r="7" spans="1:29" ht="36" customHeight="1" x14ac:dyDescent="0.25">
      <c r="A7" s="9">
        <f ca="1">'✅ Compliance'!C5</f>
        <v>80</v>
      </c>
      <c r="B7" s="9"/>
      <c r="C7" s="8">
        <f ca="1">'✅ Compliance'!C6</f>
        <v>4</v>
      </c>
      <c r="D7" s="8"/>
      <c r="E7" s="7">
        <f>COUNTIF('👥 Mitarbeiter'!B7:B106,"&lt;&gt;")</f>
        <v>10</v>
      </c>
      <c r="F7" s="7"/>
      <c r="G7" s="6">
        <f>COUNTIF('⚙️ Einstellungen'!B16:B30,"&lt;&gt;")</f>
        <v>6</v>
      </c>
      <c r="H7" s="6"/>
    </row>
    <row r="11" spans="1:29" ht="18" x14ac:dyDescent="0.25">
      <c r="A11" s="14" t="s">
        <v>9</v>
      </c>
      <c r="B11" s="14"/>
      <c r="C11" s="14"/>
      <c r="D11" s="14"/>
      <c r="E11" s="14"/>
      <c r="F11" s="14"/>
      <c r="G11" s="14"/>
    </row>
    <row r="13" spans="1:29" ht="21.75" customHeight="1" x14ac:dyDescent="0.25">
      <c r="A13" s="5" t="s">
        <v>10</v>
      </c>
      <c r="B13" s="5"/>
      <c r="C13" s="5"/>
      <c r="D13" s="20" t="s">
        <v>11</v>
      </c>
      <c r="E13" s="4" t="s">
        <v>12</v>
      </c>
      <c r="F13" s="4"/>
      <c r="G13" s="4"/>
    </row>
    <row r="14" spans="1:29" ht="21.75" customHeight="1" x14ac:dyDescent="0.25">
      <c r="A14" s="5" t="s">
        <v>13</v>
      </c>
      <c r="B14" s="5"/>
      <c r="C14" s="5"/>
      <c r="D14" s="20" t="s">
        <v>11</v>
      </c>
      <c r="E14" s="4" t="s">
        <v>14</v>
      </c>
      <c r="F14" s="4"/>
      <c r="G14" s="4"/>
    </row>
    <row r="15" spans="1:29" ht="21.75" customHeight="1" x14ac:dyDescent="0.25">
      <c r="A15" s="5" t="s">
        <v>15</v>
      </c>
      <c r="B15" s="5"/>
      <c r="C15" s="5"/>
      <c r="D15" s="20" t="s">
        <v>11</v>
      </c>
      <c r="E15" s="4" t="s">
        <v>16</v>
      </c>
      <c r="F15" s="4"/>
      <c r="G15" s="4"/>
    </row>
    <row r="16" spans="1:29" ht="21.75" customHeight="1" x14ac:dyDescent="0.25">
      <c r="A16" s="5" t="s">
        <v>17</v>
      </c>
      <c r="B16" s="5"/>
      <c r="C16" s="5"/>
      <c r="D16" s="20" t="s">
        <v>11</v>
      </c>
      <c r="E16" s="4" t="s">
        <v>18</v>
      </c>
      <c r="F16" s="4"/>
      <c r="G16" s="4"/>
    </row>
    <row r="17" spans="1:7" ht="21.75" customHeight="1" x14ac:dyDescent="0.25">
      <c r="A17" s="5" t="s">
        <v>19</v>
      </c>
      <c r="B17" s="5"/>
      <c r="C17" s="5"/>
      <c r="D17" s="20" t="s">
        <v>11</v>
      </c>
      <c r="E17" s="4" t="s">
        <v>20</v>
      </c>
      <c r="F17" s="4"/>
      <c r="G17" s="4"/>
    </row>
    <row r="18" spans="1:7" ht="21.75" customHeight="1" x14ac:dyDescent="0.25">
      <c r="A18" s="5" t="s">
        <v>21</v>
      </c>
      <c r="B18" s="5"/>
      <c r="C18" s="5"/>
      <c r="D18" s="20" t="s">
        <v>11</v>
      </c>
      <c r="E18" s="4" t="s">
        <v>22</v>
      </c>
      <c r="F18" s="4"/>
      <c r="G18" s="4"/>
    </row>
    <row r="19" spans="1:7" ht="21.75" customHeight="1" x14ac:dyDescent="0.25">
      <c r="A19" s="5" t="s">
        <v>23</v>
      </c>
      <c r="B19" s="5"/>
      <c r="C19" s="5"/>
      <c r="D19" s="20" t="s">
        <v>11</v>
      </c>
      <c r="E19" s="4" t="s">
        <v>24</v>
      </c>
      <c r="F19" s="4"/>
      <c r="G19" s="4"/>
    </row>
    <row r="20" spans="1:7" ht="21.75" customHeight="1" x14ac:dyDescent="0.25">
      <c r="A20" s="5" t="s">
        <v>25</v>
      </c>
      <c r="B20" s="5"/>
      <c r="C20" s="5"/>
      <c r="D20" s="20" t="s">
        <v>11</v>
      </c>
      <c r="E20" s="4" t="s">
        <v>26</v>
      </c>
      <c r="F20" s="4"/>
      <c r="G20" s="4"/>
    </row>
    <row r="21" spans="1:7" ht="21.75" customHeight="1" x14ac:dyDescent="0.25">
      <c r="A21" s="5" t="s">
        <v>27</v>
      </c>
      <c r="B21" s="5"/>
      <c r="C21" s="5"/>
      <c r="D21" s="20" t="s">
        <v>11</v>
      </c>
      <c r="E21" s="4" t="s">
        <v>28</v>
      </c>
      <c r="F21" s="4"/>
      <c r="G21" s="4"/>
    </row>
    <row r="22" spans="1:7" ht="21.75" customHeight="1" x14ac:dyDescent="0.25">
      <c r="A22" s="5" t="s">
        <v>29</v>
      </c>
      <c r="B22" s="5"/>
      <c r="C22" s="5"/>
      <c r="D22" s="20" t="s">
        <v>11</v>
      </c>
      <c r="E22" s="4" t="s">
        <v>30</v>
      </c>
      <c r="F22" s="4"/>
      <c r="G22" s="4"/>
    </row>
    <row r="23" spans="1:7" ht="21.75" customHeight="1" x14ac:dyDescent="0.25">
      <c r="A23" s="5" t="s">
        <v>31</v>
      </c>
      <c r="B23" s="5"/>
      <c r="C23" s="5"/>
      <c r="D23" s="20" t="s">
        <v>11</v>
      </c>
      <c r="E23" s="4" t="s">
        <v>32</v>
      </c>
      <c r="F23" s="4"/>
      <c r="G23" s="4"/>
    </row>
    <row r="24" spans="1:7" ht="21.75" customHeight="1" x14ac:dyDescent="0.25">
      <c r="A24" s="5" t="s">
        <v>33</v>
      </c>
      <c r="B24" s="5"/>
      <c r="C24" s="5"/>
      <c r="D24" s="20" t="s">
        <v>11</v>
      </c>
      <c r="E24" s="4" t="s">
        <v>34</v>
      </c>
      <c r="F24" s="4"/>
      <c r="G24" s="4"/>
    </row>
    <row r="25" spans="1:7" ht="21.75" customHeight="1" x14ac:dyDescent="0.25">
      <c r="A25" s="5" t="s">
        <v>35</v>
      </c>
      <c r="B25" s="5"/>
      <c r="C25" s="5"/>
      <c r="D25" s="20" t="s">
        <v>11</v>
      </c>
      <c r="E25" s="4" t="s">
        <v>36</v>
      </c>
      <c r="F25" s="4"/>
      <c r="G25" s="4"/>
    </row>
    <row r="26" spans="1:7" ht="21.75" customHeight="1" x14ac:dyDescent="0.25">
      <c r="A26" s="5" t="s">
        <v>37</v>
      </c>
      <c r="B26" s="5"/>
      <c r="C26" s="5"/>
      <c r="D26" s="20" t="s">
        <v>11</v>
      </c>
      <c r="E26" s="4" t="s">
        <v>38</v>
      </c>
      <c r="F26" s="4"/>
      <c r="G26" s="4"/>
    </row>
    <row r="29" spans="1:7" ht="18" x14ac:dyDescent="0.25">
      <c r="A29" s="14" t="s">
        <v>39</v>
      </c>
      <c r="B29" s="14"/>
      <c r="C29" s="14"/>
      <c r="D29" s="14"/>
      <c r="E29" s="14"/>
      <c r="F29" s="14"/>
      <c r="G29" s="14"/>
    </row>
    <row r="30" spans="1:7" x14ac:dyDescent="0.25">
      <c r="A30" s="3" t="s">
        <v>40</v>
      </c>
      <c r="B30" s="3"/>
      <c r="C30" s="3"/>
      <c r="D30" s="3"/>
      <c r="E30" s="3"/>
      <c r="F30" s="3"/>
      <c r="G30" s="3"/>
    </row>
    <row r="31" spans="1:7" x14ac:dyDescent="0.25">
      <c r="A31" s="3" t="s">
        <v>41</v>
      </c>
      <c r="B31" s="3"/>
      <c r="C31" s="3"/>
      <c r="D31" s="3"/>
      <c r="E31" s="3"/>
      <c r="F31" s="3"/>
      <c r="G31" s="3"/>
    </row>
    <row r="32" spans="1:7" x14ac:dyDescent="0.25">
      <c r="A32" s="3" t="s">
        <v>42</v>
      </c>
      <c r="B32" s="3"/>
      <c r="C32" s="3"/>
      <c r="D32" s="3"/>
      <c r="E32" s="3"/>
      <c r="F32" s="3"/>
      <c r="G32" s="3"/>
    </row>
    <row r="33" spans="1:7" x14ac:dyDescent="0.25">
      <c r="A33" s="3" t="s">
        <v>43</v>
      </c>
      <c r="B33" s="3"/>
      <c r="C33" s="3"/>
      <c r="D33" s="3"/>
      <c r="E33" s="3"/>
      <c r="F33" s="3"/>
      <c r="G33" s="3"/>
    </row>
    <row r="34" spans="1:7" x14ac:dyDescent="0.25">
      <c r="A34" s="3" t="s">
        <v>44</v>
      </c>
      <c r="B34" s="3"/>
      <c r="C34" s="3"/>
      <c r="D34" s="3"/>
      <c r="E34" s="3"/>
      <c r="F34" s="3"/>
      <c r="G34" s="3"/>
    </row>
    <row r="37" spans="1:7" ht="15" customHeight="1" x14ac:dyDescent="0.25">
      <c r="A37" s="2" t="s">
        <v>45</v>
      </c>
      <c r="B37" s="2"/>
      <c r="C37" s="2"/>
      <c r="D37" s="2"/>
      <c r="E37" s="2"/>
      <c r="F37" s="2"/>
      <c r="G37" s="2"/>
    </row>
    <row r="38" spans="1:7" ht="37.5" customHeight="1" x14ac:dyDescent="0.25">
      <c r="A38" s="1" t="s">
        <v>46</v>
      </c>
      <c r="B38" s="1"/>
      <c r="C38" s="1"/>
      <c r="D38" s="1"/>
      <c r="E38" s="1"/>
      <c r="F38" s="1"/>
      <c r="G38" s="1"/>
    </row>
  </sheetData>
  <mergeCells count="46">
    <mergeCell ref="A37:G37"/>
    <mergeCell ref="A38:G38"/>
    <mergeCell ref="A30:G30"/>
    <mergeCell ref="A31:G31"/>
    <mergeCell ref="A32:G32"/>
    <mergeCell ref="A33:G33"/>
    <mergeCell ref="A34:G34"/>
    <mergeCell ref="A25:C25"/>
    <mergeCell ref="E25:G25"/>
    <mergeCell ref="A26:C26"/>
    <mergeCell ref="E26:G26"/>
    <mergeCell ref="A29:G29"/>
    <mergeCell ref="A22:C22"/>
    <mergeCell ref="E22:G22"/>
    <mergeCell ref="A23:C23"/>
    <mergeCell ref="E23:G23"/>
    <mergeCell ref="A24:C24"/>
    <mergeCell ref="E24:G24"/>
    <mergeCell ref="A19:C19"/>
    <mergeCell ref="E19:G19"/>
    <mergeCell ref="A20:C20"/>
    <mergeCell ref="E20:G20"/>
    <mergeCell ref="A21:C21"/>
    <mergeCell ref="E21:G21"/>
    <mergeCell ref="A16:C16"/>
    <mergeCell ref="E16:G16"/>
    <mergeCell ref="A17:C17"/>
    <mergeCell ref="E17:G17"/>
    <mergeCell ref="A18:C18"/>
    <mergeCell ref="E18:G18"/>
    <mergeCell ref="A13:C13"/>
    <mergeCell ref="E13:G13"/>
    <mergeCell ref="A14:C14"/>
    <mergeCell ref="E14:G14"/>
    <mergeCell ref="A15:C15"/>
    <mergeCell ref="E15:G15"/>
    <mergeCell ref="A7:B7"/>
    <mergeCell ref="C7:D7"/>
    <mergeCell ref="E7:F7"/>
    <mergeCell ref="G7:H7"/>
    <mergeCell ref="A11:G11"/>
    <mergeCell ref="A5:G5"/>
    <mergeCell ref="A6:B6"/>
    <mergeCell ref="C6:D6"/>
    <mergeCell ref="E6:F6"/>
    <mergeCell ref="G6:H6"/>
  </mergeCells>
  <hyperlinks>
    <hyperlink ref="D13" location="'⚙️ Einstellungen'!A1" display="→ Öffnen"/>
    <hyperlink ref="D14" location="'👥 Mitarbeiter'!A1" display="→ Öffnen"/>
    <hyperlink ref="D15" location="'🎓 Skills'!A1" display="→ Öffnen"/>
    <hyperlink ref="D16" location="'🚗 Ressourcen'!A1" display="→ Öffnen"/>
    <hyperlink ref="D17" location="'📅 Feiertage'!A1" display="→ Öffnen"/>
    <hyperlink ref="D18" location="'📝 Wünsche'!A1" display="→ Öffnen"/>
    <hyperlink ref="D19" location="'🚫 Abwesenheiten'!A1" display="→ Öffnen"/>
    <hyperlink ref="D20" location="'📋 Plan Monat'!A1" display="→ Öffnen"/>
    <hyperlink ref="D21" location="'🔄 Plan Woche'!A1" display="→ Öffnen"/>
    <hyperlink ref="D22" location="'✅ Compliance'!A1" display="→ Öffnen"/>
    <hyperlink ref="D23" location="'📊 KPI'!A1" display="→ Öffnen"/>
    <hyperlink ref="D24" location="'💰 Kosten'!A1" display="→ Öffnen"/>
    <hyperlink ref="D25" location="'📄 Aushang'!A1" display="→ Öffnen"/>
    <hyperlink ref="D26" location="'🕒 Audit-Trail'!A1" display="→ Öffnen"/>
  </hyperlinks>
  <pageMargins left="0.4" right="0.4" top="0.5" bottom="0.5"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9" width="14" customWidth="1"/>
    <col min="10" max="10" width="10" customWidth="1"/>
  </cols>
  <sheetData>
    <row r="1" spans="1:29" ht="37.5" customHeight="1" x14ac:dyDescent="0.25">
      <c r="A1" s="15" t="s">
        <v>0</v>
      </c>
      <c r="B1" s="16" t="s">
        <v>313</v>
      </c>
    </row>
    <row r="2" spans="1:29" ht="18" customHeight="1" x14ac:dyDescent="0.25">
      <c r="A2" s="17" t="s">
        <v>2</v>
      </c>
      <c r="B2" s="18" t="s">
        <v>314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315</v>
      </c>
      <c r="B4" s="67">
        <f ca="1">DATE(YEAR(TODAY()),MONTH(TODAY()),1)</f>
        <v>46143</v>
      </c>
      <c r="C4" s="54" t="s">
        <v>316</v>
      </c>
      <c r="D4" s="68">
        <f ca="1">B4+6</f>
        <v>46149</v>
      </c>
    </row>
    <row r="5" spans="1:29" x14ac:dyDescent="0.25">
      <c r="A5" s="24" t="s">
        <v>202</v>
      </c>
      <c r="B5" s="24" t="s">
        <v>203</v>
      </c>
      <c r="C5" s="69">
        <f ca="1">B$4+0</f>
        <v>46143</v>
      </c>
      <c r="D5" s="69">
        <f ca="1">B$4+1</f>
        <v>46144</v>
      </c>
      <c r="E5" s="69">
        <f ca="1">B$4+2</f>
        <v>46145</v>
      </c>
      <c r="F5" s="69">
        <f ca="1">B$4+3</f>
        <v>46146</v>
      </c>
      <c r="G5" s="69">
        <f ca="1">B$4+4</f>
        <v>46147</v>
      </c>
      <c r="H5" s="69">
        <f ca="1">B$4+5</f>
        <v>46148</v>
      </c>
      <c r="I5" s="69">
        <f ca="1">B$4+6</f>
        <v>46149</v>
      </c>
      <c r="J5" s="24" t="s">
        <v>317</v>
      </c>
    </row>
    <row r="6" spans="1:29" x14ac:dyDescent="0.25">
      <c r="A6" s="27" t="str">
        <f>'👥 Mitarbeiter'!A7</f>
        <v>MA001</v>
      </c>
      <c r="B6" s="27" t="str">
        <f>'👥 Mitarbeiter'!B7&amp;" "&amp;'👥 Mitarbeiter'!C7</f>
        <v>Anna Beispiel</v>
      </c>
      <c r="C6" s="70">
        <f ca="1">IFERROR(INDEX('📋 Plan Monat'!$C$7:$AG$16,MATCH($A6,'📋 Plan Monat'!$A$7:$A$16,0),MATCH(C$5,'📋 Plan Monat'!$C$5:$AG$5,0)),"")</f>
        <v>0</v>
      </c>
      <c r="D6" s="70">
        <f ca="1">IFERROR(INDEX('📋 Plan Monat'!$C$7:$AG$16,MATCH($A6,'📋 Plan Monat'!$A$7:$A$16,0),MATCH(D$5,'📋 Plan Monat'!$C$5:$AG$5,0)),"")</f>
        <v>0</v>
      </c>
      <c r="E6" s="70">
        <f ca="1">IFERROR(INDEX('📋 Plan Monat'!$C$7:$AG$16,MATCH($A6,'📋 Plan Monat'!$A$7:$A$16,0),MATCH(E$5,'📋 Plan Monat'!$C$5:$AG$5,0)),"")</f>
        <v>0</v>
      </c>
      <c r="F6" s="70">
        <f ca="1">IFERROR(INDEX('📋 Plan Monat'!$C$7:$AG$16,MATCH($A6,'📋 Plan Monat'!$A$7:$A$16,0),MATCH(F$5,'📋 Plan Monat'!$C$5:$AG$5,0)),"")</f>
        <v>0</v>
      </c>
      <c r="G6" s="70">
        <f ca="1">IFERROR(INDEX('📋 Plan Monat'!$C$7:$AG$16,MATCH($A6,'📋 Plan Monat'!$A$7:$A$16,0),MATCH(G$5,'📋 Plan Monat'!$C$5:$AG$5,0)),"")</f>
        <v>0</v>
      </c>
      <c r="H6" s="70">
        <f ca="1">IFERROR(INDEX('📋 Plan Monat'!$C$7:$AG$16,MATCH($A6,'📋 Plan Monat'!$A$7:$A$16,0),MATCH(H$5,'📋 Plan Monat'!$C$5:$AG$5,0)),"")</f>
        <v>0</v>
      </c>
      <c r="I6" s="70">
        <f ca="1">IFERROR(INDEX('📋 Plan Monat'!$C$7:$AG$16,MATCH($A6,'📋 Plan Monat'!$A$7:$A$16,0),MATCH(I$5,'📋 Plan Monat'!$C$5:$AG$5,0)),"")</f>
        <v>0</v>
      </c>
      <c r="J6" s="49">
        <f t="shared" ref="J6:J15" ca="1" si="0">COUNTIF(C6:I6,"F")*8+COUNTIF(C6:I6,"S")*8+COUNTIF(C6:I6,"N")*8+COUNTIF(C6:I6,"T")*8</f>
        <v>0</v>
      </c>
    </row>
    <row r="7" spans="1:29" x14ac:dyDescent="0.25">
      <c r="A7" s="27" t="str">
        <f>'👥 Mitarbeiter'!A8</f>
        <v>MA002</v>
      </c>
      <c r="B7" s="27" t="str">
        <f>'👥 Mitarbeiter'!B8&amp;" "&amp;'👥 Mitarbeiter'!C8</f>
        <v>Bernd Muster</v>
      </c>
      <c r="C7" s="70">
        <f ca="1">IFERROR(INDEX('📋 Plan Monat'!$C$7:$AG$16,MATCH($A7,'📋 Plan Monat'!$A$7:$A$16,0),MATCH(C$5,'📋 Plan Monat'!$C$5:$AG$5,0)),"")</f>
        <v>0</v>
      </c>
      <c r="D7" s="70">
        <f ca="1">IFERROR(INDEX('📋 Plan Monat'!$C$7:$AG$16,MATCH($A7,'📋 Plan Monat'!$A$7:$A$16,0),MATCH(D$5,'📋 Plan Monat'!$C$5:$AG$5,0)),"")</f>
        <v>0</v>
      </c>
      <c r="E7" s="70">
        <f ca="1">IFERROR(INDEX('📋 Plan Monat'!$C$7:$AG$16,MATCH($A7,'📋 Plan Monat'!$A$7:$A$16,0),MATCH(E$5,'📋 Plan Monat'!$C$5:$AG$5,0)),"")</f>
        <v>0</v>
      </c>
      <c r="F7" s="70">
        <f ca="1">IFERROR(INDEX('📋 Plan Monat'!$C$7:$AG$16,MATCH($A7,'📋 Plan Monat'!$A$7:$A$16,0),MATCH(F$5,'📋 Plan Monat'!$C$5:$AG$5,0)),"")</f>
        <v>0</v>
      </c>
      <c r="G7" s="70">
        <f ca="1">IFERROR(INDEX('📋 Plan Monat'!$C$7:$AG$16,MATCH($A7,'📋 Plan Monat'!$A$7:$A$16,0),MATCH(G$5,'📋 Plan Monat'!$C$5:$AG$5,0)),"")</f>
        <v>0</v>
      </c>
      <c r="H7" s="70">
        <f ca="1">IFERROR(INDEX('📋 Plan Monat'!$C$7:$AG$16,MATCH($A7,'📋 Plan Monat'!$A$7:$A$16,0),MATCH(H$5,'📋 Plan Monat'!$C$5:$AG$5,0)),"")</f>
        <v>0</v>
      </c>
      <c r="I7" s="70">
        <f ca="1">IFERROR(INDEX('📋 Plan Monat'!$C$7:$AG$16,MATCH($A7,'📋 Plan Monat'!$A$7:$A$16,0),MATCH(I$5,'📋 Plan Monat'!$C$5:$AG$5,0)),"")</f>
        <v>0</v>
      </c>
      <c r="J7" s="49">
        <f t="shared" ca="1" si="0"/>
        <v>0</v>
      </c>
    </row>
    <row r="8" spans="1:29" x14ac:dyDescent="0.25">
      <c r="A8" s="27" t="str">
        <f>'👥 Mitarbeiter'!A9</f>
        <v>MA003</v>
      </c>
      <c r="B8" s="27" t="str">
        <f>'👥 Mitarbeiter'!B9&amp;" "&amp;'👥 Mitarbeiter'!C9</f>
        <v>Clara Demo</v>
      </c>
      <c r="C8" s="70">
        <f ca="1">IFERROR(INDEX('📋 Plan Monat'!$C$7:$AG$16,MATCH($A8,'📋 Plan Monat'!$A$7:$A$16,0),MATCH(C$5,'📋 Plan Monat'!$C$5:$AG$5,0)),"")</f>
        <v>0</v>
      </c>
      <c r="D8" s="70">
        <f ca="1">IFERROR(INDEX('📋 Plan Monat'!$C$7:$AG$16,MATCH($A8,'📋 Plan Monat'!$A$7:$A$16,0),MATCH(D$5,'📋 Plan Monat'!$C$5:$AG$5,0)),"")</f>
        <v>0</v>
      </c>
      <c r="E8" s="70">
        <f ca="1">IFERROR(INDEX('📋 Plan Monat'!$C$7:$AG$16,MATCH($A8,'📋 Plan Monat'!$A$7:$A$16,0),MATCH(E$5,'📋 Plan Monat'!$C$5:$AG$5,0)),"")</f>
        <v>0</v>
      </c>
      <c r="F8" s="70">
        <f ca="1">IFERROR(INDEX('📋 Plan Monat'!$C$7:$AG$16,MATCH($A8,'📋 Plan Monat'!$A$7:$A$16,0),MATCH(F$5,'📋 Plan Monat'!$C$5:$AG$5,0)),"")</f>
        <v>0</v>
      </c>
      <c r="G8" s="70">
        <f ca="1">IFERROR(INDEX('📋 Plan Monat'!$C$7:$AG$16,MATCH($A8,'📋 Plan Monat'!$A$7:$A$16,0),MATCH(G$5,'📋 Plan Monat'!$C$5:$AG$5,0)),"")</f>
        <v>0</v>
      </c>
      <c r="H8" s="70">
        <f ca="1">IFERROR(INDEX('📋 Plan Monat'!$C$7:$AG$16,MATCH($A8,'📋 Plan Monat'!$A$7:$A$16,0),MATCH(H$5,'📋 Plan Monat'!$C$5:$AG$5,0)),"")</f>
        <v>0</v>
      </c>
      <c r="I8" s="70">
        <f ca="1">IFERROR(INDEX('📋 Plan Monat'!$C$7:$AG$16,MATCH($A8,'📋 Plan Monat'!$A$7:$A$16,0),MATCH(I$5,'📋 Plan Monat'!$C$5:$AG$5,0)),"")</f>
        <v>0</v>
      </c>
      <c r="J8" s="49">
        <f t="shared" ca="1" si="0"/>
        <v>0</v>
      </c>
    </row>
    <row r="9" spans="1:29" x14ac:dyDescent="0.25">
      <c r="A9" s="27" t="str">
        <f>'👥 Mitarbeiter'!A10</f>
        <v>MA004</v>
      </c>
      <c r="B9" s="27" t="str">
        <f>'👥 Mitarbeiter'!B10&amp;" "&amp;'👥 Mitarbeiter'!C10</f>
        <v>David Test</v>
      </c>
      <c r="C9" s="70">
        <f ca="1">IFERROR(INDEX('📋 Plan Monat'!$C$7:$AG$16,MATCH($A9,'📋 Plan Monat'!$A$7:$A$16,0),MATCH(C$5,'📋 Plan Monat'!$C$5:$AG$5,0)),"")</f>
        <v>0</v>
      </c>
      <c r="D9" s="70">
        <f ca="1">IFERROR(INDEX('📋 Plan Monat'!$C$7:$AG$16,MATCH($A9,'📋 Plan Monat'!$A$7:$A$16,0),MATCH(D$5,'📋 Plan Monat'!$C$5:$AG$5,0)),"")</f>
        <v>0</v>
      </c>
      <c r="E9" s="70">
        <f ca="1">IFERROR(INDEX('📋 Plan Monat'!$C$7:$AG$16,MATCH($A9,'📋 Plan Monat'!$A$7:$A$16,0),MATCH(E$5,'📋 Plan Monat'!$C$5:$AG$5,0)),"")</f>
        <v>0</v>
      </c>
      <c r="F9" s="70">
        <f ca="1">IFERROR(INDEX('📋 Plan Monat'!$C$7:$AG$16,MATCH($A9,'📋 Plan Monat'!$A$7:$A$16,0),MATCH(F$5,'📋 Plan Monat'!$C$5:$AG$5,0)),"")</f>
        <v>0</v>
      </c>
      <c r="G9" s="70">
        <f ca="1">IFERROR(INDEX('📋 Plan Monat'!$C$7:$AG$16,MATCH($A9,'📋 Plan Monat'!$A$7:$A$16,0),MATCH(G$5,'📋 Plan Monat'!$C$5:$AG$5,0)),"")</f>
        <v>0</v>
      </c>
      <c r="H9" s="70">
        <f ca="1">IFERROR(INDEX('📋 Plan Monat'!$C$7:$AG$16,MATCH($A9,'📋 Plan Monat'!$A$7:$A$16,0),MATCH(H$5,'📋 Plan Monat'!$C$5:$AG$5,0)),"")</f>
        <v>0</v>
      </c>
      <c r="I9" s="70">
        <f ca="1">IFERROR(INDEX('📋 Plan Monat'!$C$7:$AG$16,MATCH($A9,'📋 Plan Monat'!$A$7:$A$16,0),MATCH(I$5,'📋 Plan Monat'!$C$5:$AG$5,0)),"")</f>
        <v>0</v>
      </c>
      <c r="J9" s="49">
        <f t="shared" ca="1" si="0"/>
        <v>0</v>
      </c>
    </row>
    <row r="10" spans="1:29" x14ac:dyDescent="0.25">
      <c r="A10" s="27" t="str">
        <f>'👥 Mitarbeiter'!A11</f>
        <v>MA005</v>
      </c>
      <c r="B10" s="27" t="str">
        <f>'👥 Mitarbeiter'!B11&amp;" "&amp;'👥 Mitarbeiter'!C11</f>
        <v>Eva Vorlage</v>
      </c>
      <c r="C10" s="70">
        <f ca="1">IFERROR(INDEX('📋 Plan Monat'!$C$7:$AG$16,MATCH($A10,'📋 Plan Monat'!$A$7:$A$16,0),MATCH(C$5,'📋 Plan Monat'!$C$5:$AG$5,0)),"")</f>
        <v>0</v>
      </c>
      <c r="D10" s="70">
        <f ca="1">IFERROR(INDEX('📋 Plan Monat'!$C$7:$AG$16,MATCH($A10,'📋 Plan Monat'!$A$7:$A$16,0),MATCH(D$5,'📋 Plan Monat'!$C$5:$AG$5,0)),"")</f>
        <v>0</v>
      </c>
      <c r="E10" s="70">
        <f ca="1">IFERROR(INDEX('📋 Plan Monat'!$C$7:$AG$16,MATCH($A10,'📋 Plan Monat'!$A$7:$A$16,0),MATCH(E$5,'📋 Plan Monat'!$C$5:$AG$5,0)),"")</f>
        <v>0</v>
      </c>
      <c r="F10" s="70">
        <f ca="1">IFERROR(INDEX('📋 Plan Monat'!$C$7:$AG$16,MATCH($A10,'📋 Plan Monat'!$A$7:$A$16,0),MATCH(F$5,'📋 Plan Monat'!$C$5:$AG$5,0)),"")</f>
        <v>0</v>
      </c>
      <c r="G10" s="70">
        <f ca="1">IFERROR(INDEX('📋 Plan Monat'!$C$7:$AG$16,MATCH($A10,'📋 Plan Monat'!$A$7:$A$16,0),MATCH(G$5,'📋 Plan Monat'!$C$5:$AG$5,0)),"")</f>
        <v>0</v>
      </c>
      <c r="H10" s="70">
        <f ca="1">IFERROR(INDEX('📋 Plan Monat'!$C$7:$AG$16,MATCH($A10,'📋 Plan Monat'!$A$7:$A$16,0),MATCH(H$5,'📋 Plan Monat'!$C$5:$AG$5,0)),"")</f>
        <v>0</v>
      </c>
      <c r="I10" s="70">
        <f ca="1">IFERROR(INDEX('📋 Plan Monat'!$C$7:$AG$16,MATCH($A10,'📋 Plan Monat'!$A$7:$A$16,0),MATCH(I$5,'📋 Plan Monat'!$C$5:$AG$5,0)),"")</f>
        <v>0</v>
      </c>
      <c r="J10" s="49">
        <f t="shared" ca="1" si="0"/>
        <v>0</v>
      </c>
    </row>
    <row r="11" spans="1:29" x14ac:dyDescent="0.25">
      <c r="A11" s="27" t="str">
        <f>'👥 Mitarbeiter'!A12</f>
        <v>MA006</v>
      </c>
      <c r="B11" s="27" t="str">
        <f>'👥 Mitarbeiter'!B12&amp;" "&amp;'👥 Mitarbeiter'!C12</f>
        <v>Frank Schicht</v>
      </c>
      <c r="C11" s="70">
        <f ca="1">IFERROR(INDEX('📋 Plan Monat'!$C$7:$AG$16,MATCH($A11,'📋 Plan Monat'!$A$7:$A$16,0),MATCH(C$5,'📋 Plan Monat'!$C$5:$AG$5,0)),"")</f>
        <v>0</v>
      </c>
      <c r="D11" s="70">
        <f ca="1">IFERROR(INDEX('📋 Plan Monat'!$C$7:$AG$16,MATCH($A11,'📋 Plan Monat'!$A$7:$A$16,0),MATCH(D$5,'📋 Plan Monat'!$C$5:$AG$5,0)),"")</f>
        <v>0</v>
      </c>
      <c r="E11" s="70">
        <f ca="1">IFERROR(INDEX('📋 Plan Monat'!$C$7:$AG$16,MATCH($A11,'📋 Plan Monat'!$A$7:$A$16,0),MATCH(E$5,'📋 Plan Monat'!$C$5:$AG$5,0)),"")</f>
        <v>0</v>
      </c>
      <c r="F11" s="70">
        <f ca="1">IFERROR(INDEX('📋 Plan Monat'!$C$7:$AG$16,MATCH($A11,'📋 Plan Monat'!$A$7:$A$16,0),MATCH(F$5,'📋 Plan Monat'!$C$5:$AG$5,0)),"")</f>
        <v>0</v>
      </c>
      <c r="G11" s="70">
        <f ca="1">IFERROR(INDEX('📋 Plan Monat'!$C$7:$AG$16,MATCH($A11,'📋 Plan Monat'!$A$7:$A$16,0),MATCH(G$5,'📋 Plan Monat'!$C$5:$AG$5,0)),"")</f>
        <v>0</v>
      </c>
      <c r="H11" s="70">
        <f ca="1">IFERROR(INDEX('📋 Plan Monat'!$C$7:$AG$16,MATCH($A11,'📋 Plan Monat'!$A$7:$A$16,0),MATCH(H$5,'📋 Plan Monat'!$C$5:$AG$5,0)),"")</f>
        <v>0</v>
      </c>
      <c r="I11" s="70">
        <f ca="1">IFERROR(INDEX('📋 Plan Monat'!$C$7:$AG$16,MATCH($A11,'📋 Plan Monat'!$A$7:$A$16,0),MATCH(I$5,'📋 Plan Monat'!$C$5:$AG$5,0)),"")</f>
        <v>0</v>
      </c>
      <c r="J11" s="49">
        <f t="shared" ca="1" si="0"/>
        <v>0</v>
      </c>
    </row>
    <row r="12" spans="1:29" x14ac:dyDescent="0.25">
      <c r="A12" s="27" t="str">
        <f>'👥 Mitarbeiter'!A13</f>
        <v>MA007</v>
      </c>
      <c r="B12" s="27" t="str">
        <f>'👥 Mitarbeiter'!B13&amp;" "&amp;'👥 Mitarbeiter'!C13</f>
        <v>Greta Plan</v>
      </c>
      <c r="C12" s="70">
        <f ca="1">IFERROR(INDEX('📋 Plan Monat'!$C$7:$AG$16,MATCH($A12,'📋 Plan Monat'!$A$7:$A$16,0),MATCH(C$5,'📋 Plan Monat'!$C$5:$AG$5,0)),"")</f>
        <v>0</v>
      </c>
      <c r="D12" s="70">
        <f ca="1">IFERROR(INDEX('📋 Plan Monat'!$C$7:$AG$16,MATCH($A12,'📋 Plan Monat'!$A$7:$A$16,0),MATCH(D$5,'📋 Plan Monat'!$C$5:$AG$5,0)),"")</f>
        <v>0</v>
      </c>
      <c r="E12" s="70">
        <f ca="1">IFERROR(INDEX('📋 Plan Monat'!$C$7:$AG$16,MATCH($A12,'📋 Plan Monat'!$A$7:$A$16,0),MATCH(E$5,'📋 Plan Monat'!$C$5:$AG$5,0)),"")</f>
        <v>0</v>
      </c>
      <c r="F12" s="70">
        <f ca="1">IFERROR(INDEX('📋 Plan Monat'!$C$7:$AG$16,MATCH($A12,'📋 Plan Monat'!$A$7:$A$16,0),MATCH(F$5,'📋 Plan Monat'!$C$5:$AG$5,0)),"")</f>
        <v>0</v>
      </c>
      <c r="G12" s="70">
        <f ca="1">IFERROR(INDEX('📋 Plan Monat'!$C$7:$AG$16,MATCH($A12,'📋 Plan Monat'!$A$7:$A$16,0),MATCH(G$5,'📋 Plan Monat'!$C$5:$AG$5,0)),"")</f>
        <v>0</v>
      </c>
      <c r="H12" s="70">
        <f ca="1">IFERROR(INDEX('📋 Plan Monat'!$C$7:$AG$16,MATCH($A12,'📋 Plan Monat'!$A$7:$A$16,0),MATCH(H$5,'📋 Plan Monat'!$C$5:$AG$5,0)),"")</f>
        <v>0</v>
      </c>
      <c r="I12" s="70">
        <f ca="1">IFERROR(INDEX('📋 Plan Monat'!$C$7:$AG$16,MATCH($A12,'📋 Plan Monat'!$A$7:$A$16,0),MATCH(I$5,'📋 Plan Monat'!$C$5:$AG$5,0)),"")</f>
        <v>0</v>
      </c>
      <c r="J12" s="49">
        <f t="shared" ca="1" si="0"/>
        <v>0</v>
      </c>
    </row>
    <row r="13" spans="1:29" x14ac:dyDescent="0.25">
      <c r="A13" s="27" t="str">
        <f>'👥 Mitarbeiter'!A14</f>
        <v>MA008</v>
      </c>
      <c r="B13" s="27" t="str">
        <f>'👥 Mitarbeiter'!B14&amp;" "&amp;'👥 Mitarbeiter'!C14</f>
        <v>Hans Beispiel</v>
      </c>
      <c r="C13" s="70">
        <f ca="1">IFERROR(INDEX('📋 Plan Monat'!$C$7:$AG$16,MATCH($A13,'📋 Plan Monat'!$A$7:$A$16,0),MATCH(C$5,'📋 Plan Monat'!$C$5:$AG$5,0)),"")</f>
        <v>0</v>
      </c>
      <c r="D13" s="70">
        <f ca="1">IFERROR(INDEX('📋 Plan Monat'!$C$7:$AG$16,MATCH($A13,'📋 Plan Monat'!$A$7:$A$16,0),MATCH(D$5,'📋 Plan Monat'!$C$5:$AG$5,0)),"")</f>
        <v>0</v>
      </c>
      <c r="E13" s="70">
        <f ca="1">IFERROR(INDEX('📋 Plan Monat'!$C$7:$AG$16,MATCH($A13,'📋 Plan Monat'!$A$7:$A$16,0),MATCH(E$5,'📋 Plan Monat'!$C$5:$AG$5,0)),"")</f>
        <v>0</v>
      </c>
      <c r="F13" s="70">
        <f ca="1">IFERROR(INDEX('📋 Plan Monat'!$C$7:$AG$16,MATCH($A13,'📋 Plan Monat'!$A$7:$A$16,0),MATCH(F$5,'📋 Plan Monat'!$C$5:$AG$5,0)),"")</f>
        <v>0</v>
      </c>
      <c r="G13" s="70">
        <f ca="1">IFERROR(INDEX('📋 Plan Monat'!$C$7:$AG$16,MATCH($A13,'📋 Plan Monat'!$A$7:$A$16,0),MATCH(G$5,'📋 Plan Monat'!$C$5:$AG$5,0)),"")</f>
        <v>0</v>
      </c>
      <c r="H13" s="70">
        <f ca="1">IFERROR(INDEX('📋 Plan Monat'!$C$7:$AG$16,MATCH($A13,'📋 Plan Monat'!$A$7:$A$16,0),MATCH(H$5,'📋 Plan Monat'!$C$5:$AG$5,0)),"")</f>
        <v>0</v>
      </c>
      <c r="I13" s="70">
        <f ca="1">IFERROR(INDEX('📋 Plan Monat'!$C$7:$AG$16,MATCH($A13,'📋 Plan Monat'!$A$7:$A$16,0),MATCH(I$5,'📋 Plan Monat'!$C$5:$AG$5,0)),"")</f>
        <v>0</v>
      </c>
      <c r="J13" s="49">
        <f t="shared" ca="1" si="0"/>
        <v>0</v>
      </c>
    </row>
    <row r="14" spans="1:29" x14ac:dyDescent="0.25">
      <c r="A14" s="27" t="str">
        <f>'👥 Mitarbeiter'!A15</f>
        <v>MA009</v>
      </c>
      <c r="B14" s="27" t="str">
        <f>'👥 Mitarbeiter'!B15&amp;" "&amp;'👥 Mitarbeiter'!C15</f>
        <v>Ina Muster</v>
      </c>
      <c r="C14" s="70">
        <f ca="1">IFERROR(INDEX('📋 Plan Monat'!$C$7:$AG$16,MATCH($A14,'📋 Plan Monat'!$A$7:$A$16,0),MATCH(C$5,'📋 Plan Monat'!$C$5:$AG$5,0)),"")</f>
        <v>0</v>
      </c>
      <c r="D14" s="70">
        <f ca="1">IFERROR(INDEX('📋 Plan Monat'!$C$7:$AG$16,MATCH($A14,'📋 Plan Monat'!$A$7:$A$16,0),MATCH(D$5,'📋 Plan Monat'!$C$5:$AG$5,0)),"")</f>
        <v>0</v>
      </c>
      <c r="E14" s="70">
        <f ca="1">IFERROR(INDEX('📋 Plan Monat'!$C$7:$AG$16,MATCH($A14,'📋 Plan Monat'!$A$7:$A$16,0),MATCH(E$5,'📋 Plan Monat'!$C$5:$AG$5,0)),"")</f>
        <v>0</v>
      </c>
      <c r="F14" s="70">
        <f ca="1">IFERROR(INDEX('📋 Plan Monat'!$C$7:$AG$16,MATCH($A14,'📋 Plan Monat'!$A$7:$A$16,0),MATCH(F$5,'📋 Plan Monat'!$C$5:$AG$5,0)),"")</f>
        <v>0</v>
      </c>
      <c r="G14" s="70">
        <f ca="1">IFERROR(INDEX('📋 Plan Monat'!$C$7:$AG$16,MATCH($A14,'📋 Plan Monat'!$A$7:$A$16,0),MATCH(G$5,'📋 Plan Monat'!$C$5:$AG$5,0)),"")</f>
        <v>0</v>
      </c>
      <c r="H14" s="70">
        <f ca="1">IFERROR(INDEX('📋 Plan Monat'!$C$7:$AG$16,MATCH($A14,'📋 Plan Monat'!$A$7:$A$16,0),MATCH(H$5,'📋 Plan Monat'!$C$5:$AG$5,0)),"")</f>
        <v>0</v>
      </c>
      <c r="I14" s="70">
        <f ca="1">IFERROR(INDEX('📋 Plan Monat'!$C$7:$AG$16,MATCH($A14,'📋 Plan Monat'!$A$7:$A$16,0),MATCH(I$5,'📋 Plan Monat'!$C$5:$AG$5,0)),"")</f>
        <v>0</v>
      </c>
      <c r="J14" s="49">
        <f t="shared" ca="1" si="0"/>
        <v>0</v>
      </c>
    </row>
    <row r="15" spans="1:29" x14ac:dyDescent="0.25">
      <c r="A15" s="27" t="str">
        <f>'👥 Mitarbeiter'!A16</f>
        <v>MA010</v>
      </c>
      <c r="B15" s="27" t="str">
        <f>'👥 Mitarbeiter'!B16&amp;" "&amp;'👥 Mitarbeiter'!C16</f>
        <v>Jan Demo</v>
      </c>
      <c r="C15" s="70">
        <f ca="1">IFERROR(INDEX('📋 Plan Monat'!$C$7:$AG$16,MATCH($A15,'📋 Plan Monat'!$A$7:$A$16,0),MATCH(C$5,'📋 Plan Monat'!$C$5:$AG$5,0)),"")</f>
        <v>0</v>
      </c>
      <c r="D15" s="70">
        <f ca="1">IFERROR(INDEX('📋 Plan Monat'!$C$7:$AG$16,MATCH($A15,'📋 Plan Monat'!$A$7:$A$16,0),MATCH(D$5,'📋 Plan Monat'!$C$5:$AG$5,0)),"")</f>
        <v>0</v>
      </c>
      <c r="E15" s="70">
        <f ca="1">IFERROR(INDEX('📋 Plan Monat'!$C$7:$AG$16,MATCH($A15,'📋 Plan Monat'!$A$7:$A$16,0),MATCH(E$5,'📋 Plan Monat'!$C$5:$AG$5,0)),"")</f>
        <v>0</v>
      </c>
      <c r="F15" s="70">
        <f ca="1">IFERROR(INDEX('📋 Plan Monat'!$C$7:$AG$16,MATCH($A15,'📋 Plan Monat'!$A$7:$A$16,0),MATCH(F$5,'📋 Plan Monat'!$C$5:$AG$5,0)),"")</f>
        <v>0</v>
      </c>
      <c r="G15" s="70">
        <f ca="1">IFERROR(INDEX('📋 Plan Monat'!$C$7:$AG$16,MATCH($A15,'📋 Plan Monat'!$A$7:$A$16,0),MATCH(G$5,'📋 Plan Monat'!$C$5:$AG$5,0)),"")</f>
        <v>0</v>
      </c>
      <c r="H15" s="70">
        <f ca="1">IFERROR(INDEX('📋 Plan Monat'!$C$7:$AG$16,MATCH($A15,'📋 Plan Monat'!$A$7:$A$16,0),MATCH(H$5,'📋 Plan Monat'!$C$5:$AG$5,0)),"")</f>
        <v>0</v>
      </c>
      <c r="I15" s="70">
        <f ca="1">IFERROR(INDEX('📋 Plan Monat'!$C$7:$AG$16,MATCH($A15,'📋 Plan Monat'!$A$7:$A$16,0),MATCH(I$5,'📋 Plan Monat'!$C$5:$AG$5,0)),"")</f>
        <v>0</v>
      </c>
      <c r="J15" s="49">
        <f t="shared" ca="1" si="0"/>
        <v>0</v>
      </c>
    </row>
    <row r="19" spans="1:1" x14ac:dyDescent="0.25">
      <c r="A19" s="33" t="s">
        <v>136</v>
      </c>
    </row>
    <row r="20" spans="1:1" x14ac:dyDescent="0.25">
      <c r="A20" s="34" t="s">
        <v>137</v>
      </c>
    </row>
  </sheetData>
  <conditionalFormatting sqref="C6:I15">
    <cfRule type="cellIs" dxfId="18" priority="2" operator="equal">
      <formula>"F"</formula>
    </cfRule>
    <cfRule type="cellIs" dxfId="17" priority="3" operator="equal">
      <formula>"S"</formula>
    </cfRule>
    <cfRule type="cellIs" dxfId="16" priority="4" operator="equal">
      <formula>"N"</formula>
    </cfRule>
    <cfRule type="cellIs" dxfId="15" priority="5" operator="equal">
      <formula>"U"</formula>
    </cfRule>
    <cfRule type="cellIs" dxfId="14" priority="6" operator="equal">
      <formula>"K"</formula>
    </cfRule>
    <cfRule type="cellIs" dxfId="13" priority="7" operator="equal">
      <formula>"X"</formula>
    </cfRule>
  </conditionalFormatting>
  <pageMargins left="0.4" right="0.4" top="0.5" bottom="0.5"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
  <sheetViews>
    <sheetView zoomScaleNormal="100" workbookViewId="0">
      <pane ySplit="11" topLeftCell="A12" activePane="bottomLeft" state="frozen"/>
      <selection pane="bottomLeft"/>
    </sheetView>
  </sheetViews>
  <sheetFormatPr baseColWidth="10" defaultColWidth="8.7109375" defaultRowHeight="15" x14ac:dyDescent="0.25"/>
  <cols>
    <col min="1" max="1" width="26" customWidth="1"/>
    <col min="2" max="2" width="14" customWidth="1"/>
    <col min="3" max="4" width="18" customWidth="1"/>
    <col min="5" max="5" width="38" customWidth="1"/>
    <col min="6" max="6" width="18" customWidth="1"/>
    <col min="7" max="7" width="14" customWidth="1"/>
  </cols>
  <sheetData>
    <row r="1" spans="1:29" ht="37.5" customHeight="1" x14ac:dyDescent="0.25">
      <c r="A1" s="15" t="s">
        <v>0</v>
      </c>
      <c r="B1" s="16" t="s">
        <v>318</v>
      </c>
    </row>
    <row r="2" spans="1:29" ht="18" customHeight="1" x14ac:dyDescent="0.25">
      <c r="A2" s="17" t="s">
        <v>2</v>
      </c>
      <c r="B2" s="18" t="s">
        <v>319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ht="18" x14ac:dyDescent="0.25">
      <c r="A4" s="14" t="s">
        <v>320</v>
      </c>
      <c r="B4" s="14"/>
      <c r="C4" s="14"/>
      <c r="D4" s="14"/>
      <c r="E4" s="14"/>
      <c r="F4" s="14"/>
      <c r="G4" s="14"/>
    </row>
    <row r="5" spans="1:29" ht="49.5" customHeight="1" x14ac:dyDescent="0.25">
      <c r="A5" s="114" t="s">
        <v>321</v>
      </c>
      <c r="B5" s="114"/>
      <c r="C5" s="71">
        <f ca="1">INT(MAX(0,100-C6*5))</f>
        <v>80</v>
      </c>
    </row>
    <row r="6" spans="1:29" ht="36" customHeight="1" x14ac:dyDescent="0.25">
      <c r="A6" s="114" t="s">
        <v>322</v>
      </c>
      <c r="B6" s="114"/>
      <c r="C6" s="72">
        <f ca="1">COUNTIF(F12:F40,"❌*")</f>
        <v>4</v>
      </c>
    </row>
    <row r="10" spans="1:29" ht="16.5" x14ac:dyDescent="0.25">
      <c r="A10" s="115" t="s">
        <v>323</v>
      </c>
      <c r="B10" s="115"/>
      <c r="C10" s="115"/>
      <c r="D10" s="115"/>
      <c r="E10" s="115"/>
      <c r="F10" s="115"/>
      <c r="G10" s="115"/>
    </row>
    <row r="11" spans="1:29" ht="24" customHeight="1" x14ac:dyDescent="0.25">
      <c r="A11" s="24" t="s">
        <v>324</v>
      </c>
      <c r="B11" s="24" t="s">
        <v>325</v>
      </c>
      <c r="C11" s="24" t="s">
        <v>326</v>
      </c>
      <c r="D11" s="24" t="s">
        <v>327</v>
      </c>
      <c r="E11" s="24" t="s">
        <v>328</v>
      </c>
      <c r="F11" s="24" t="s">
        <v>154</v>
      </c>
      <c r="G11" s="24" t="s">
        <v>329</v>
      </c>
    </row>
    <row r="12" spans="1:29" ht="31.5" customHeight="1" x14ac:dyDescent="0.25">
      <c r="A12" s="73" t="s">
        <v>330</v>
      </c>
      <c r="B12" s="74" t="s">
        <v>331</v>
      </c>
      <c r="C12" s="75" t="s">
        <v>332</v>
      </c>
      <c r="D12" s="30">
        <f>COUNTIF('📋 Plan Monat'!AH7:AH16,"&gt;10")</f>
        <v>0</v>
      </c>
      <c r="E12" s="76" t="s">
        <v>333</v>
      </c>
      <c r="F12" s="30" t="str">
        <f t="shared" ref="F12:F20" si="0">IF(VALUE(D12)&lt;=VALUE(C12),"✅ OK","❌ "&amp;D12&amp;" Verstoß")</f>
        <v>✅ OK</v>
      </c>
      <c r="G12" s="77">
        <v>1</v>
      </c>
    </row>
    <row r="13" spans="1:29" ht="31.5" customHeight="1" x14ac:dyDescent="0.25">
      <c r="A13" s="73" t="s">
        <v>334</v>
      </c>
      <c r="B13" s="74" t="s">
        <v>335</v>
      </c>
      <c r="C13" s="75" t="s">
        <v>332</v>
      </c>
      <c r="D13" s="30">
        <f>0</f>
        <v>0</v>
      </c>
      <c r="E13" s="76" t="s">
        <v>336</v>
      </c>
      <c r="F13" s="30" t="str">
        <f t="shared" si="0"/>
        <v>✅ OK</v>
      </c>
      <c r="G13" s="77">
        <v>1</v>
      </c>
    </row>
    <row r="14" spans="1:29" ht="31.5" customHeight="1" x14ac:dyDescent="0.25">
      <c r="A14" s="73" t="s">
        <v>337</v>
      </c>
      <c r="B14" s="74" t="s">
        <v>338</v>
      </c>
      <c r="C14" s="75" t="s">
        <v>332</v>
      </c>
      <c r="D14" s="30">
        <f>SUMPRODUCT(('📋 Plan Monat'!C7:AF16="S")*('📋 Plan Monat'!D7:AG16="F"))</f>
        <v>0</v>
      </c>
      <c r="E14" s="76" t="s">
        <v>339</v>
      </c>
      <c r="F14" s="30" t="str">
        <f t="shared" si="0"/>
        <v>✅ OK</v>
      </c>
      <c r="G14" s="77">
        <v>1</v>
      </c>
    </row>
    <row r="15" spans="1:29" ht="31.5" customHeight="1" x14ac:dyDescent="0.25">
      <c r="A15" s="73" t="s">
        <v>340</v>
      </c>
      <c r="B15" s="74" t="s">
        <v>341</v>
      </c>
      <c r="C15" s="75" t="s">
        <v>332</v>
      </c>
      <c r="D15" s="30">
        <f>0</f>
        <v>0</v>
      </c>
      <c r="E15" s="76" t="s">
        <v>342</v>
      </c>
      <c r="F15" s="30" t="str">
        <f t="shared" si="0"/>
        <v>✅ OK</v>
      </c>
      <c r="G15" s="77">
        <v>1</v>
      </c>
    </row>
    <row r="16" spans="1:29" ht="31.5" customHeight="1" x14ac:dyDescent="0.25">
      <c r="A16" s="73" t="s">
        <v>343</v>
      </c>
      <c r="B16" s="74" t="s">
        <v>344</v>
      </c>
      <c r="C16" s="75" t="s">
        <v>332</v>
      </c>
      <c r="D16" s="30">
        <f>0</f>
        <v>0</v>
      </c>
      <c r="E16" s="76" t="s">
        <v>345</v>
      </c>
      <c r="F16" s="30" t="str">
        <f t="shared" si="0"/>
        <v>✅ OK</v>
      </c>
      <c r="G16" s="77">
        <v>0.5</v>
      </c>
    </row>
    <row r="17" spans="1:7" ht="31.5" customHeight="1" x14ac:dyDescent="0.25">
      <c r="A17" s="73" t="s">
        <v>346</v>
      </c>
      <c r="B17" s="74" t="s">
        <v>347</v>
      </c>
      <c r="C17" s="75" t="s">
        <v>332</v>
      </c>
      <c r="D17" s="30">
        <f>IF('📋 Plan Monat'!H4="",1,IF('📋 Plan Monat'!B4-'📋 Plan Monat'!H4&lt;4,1,0))</f>
        <v>1</v>
      </c>
      <c r="E17" s="76" t="s">
        <v>348</v>
      </c>
      <c r="F17" s="30" t="str">
        <f t="shared" si="0"/>
        <v>❌ 1 Verstoß</v>
      </c>
      <c r="G17" s="77">
        <v>1</v>
      </c>
    </row>
    <row r="18" spans="1:7" ht="31.5" customHeight="1" x14ac:dyDescent="0.25">
      <c r="A18" s="73" t="s">
        <v>349</v>
      </c>
      <c r="B18" s="74" t="s">
        <v>350</v>
      </c>
      <c r="C18" s="75" t="s">
        <v>332</v>
      </c>
      <c r="D18" s="30">
        <f>0</f>
        <v>0</v>
      </c>
      <c r="E18" s="76" t="s">
        <v>351</v>
      </c>
      <c r="F18" s="30" t="str">
        <f t="shared" si="0"/>
        <v>✅ OK</v>
      </c>
      <c r="G18" s="77">
        <v>0.5</v>
      </c>
    </row>
    <row r="19" spans="1:7" ht="31.5" customHeight="1" x14ac:dyDescent="0.25">
      <c r="A19" s="73" t="s">
        <v>352</v>
      </c>
      <c r="B19" s="74" t="s">
        <v>353</v>
      </c>
      <c r="C19" s="75" t="s">
        <v>332</v>
      </c>
      <c r="D19" s="30" t="e">
        <f ca="1">SUMPRODUCT(('👥 Mitarbeiter'!N7:N106&lt;18)*('👥 Mitarbeiter'!N7:N106&gt;0)*('📋 Plan Monat'!AH7:AH16&gt;40))</f>
        <v>#N/A</v>
      </c>
      <c r="E19" s="76" t="s">
        <v>354</v>
      </c>
      <c r="F19" s="30" t="e">
        <f t="shared" ca="1" si="0"/>
        <v>#N/A</v>
      </c>
      <c r="G19" s="77">
        <v>1</v>
      </c>
    </row>
    <row r="20" spans="1:7" ht="31.5" customHeight="1" x14ac:dyDescent="0.25">
      <c r="A20" s="73" t="s">
        <v>355</v>
      </c>
      <c r="B20" s="74" t="s">
        <v>356</v>
      </c>
      <c r="C20" s="75" t="s">
        <v>332</v>
      </c>
      <c r="D20" s="30">
        <f>0</f>
        <v>0</v>
      </c>
      <c r="E20" s="76" t="s">
        <v>357</v>
      </c>
      <c r="F20" s="30" t="str">
        <f t="shared" si="0"/>
        <v>✅ OK</v>
      </c>
      <c r="G20" s="77">
        <v>1</v>
      </c>
    </row>
    <row r="21" spans="1:7" ht="31.5" customHeight="1" x14ac:dyDescent="0.25">
      <c r="A21" s="73" t="s">
        <v>358</v>
      </c>
      <c r="B21" s="74" t="s">
        <v>359</v>
      </c>
      <c r="C21" s="75" t="s">
        <v>360</v>
      </c>
      <c r="D21" s="30" t="str">
        <f>'📋 Plan Monat'!E4</f>
        <v>Entwurf</v>
      </c>
      <c r="E21" s="76" t="s">
        <v>361</v>
      </c>
      <c r="F21" s="30" t="str">
        <f>IF(D21="Zugestimmt BR","✅ OK","❌ "&amp;D21)</f>
        <v>❌ Entwurf</v>
      </c>
      <c r="G21" s="77">
        <v>1</v>
      </c>
    </row>
    <row r="22" spans="1:7" ht="31.5" customHeight="1" x14ac:dyDescent="0.25">
      <c r="A22" s="73" t="s">
        <v>362</v>
      </c>
      <c r="B22" s="74" t="s">
        <v>363</v>
      </c>
      <c r="C22" s="75" t="s">
        <v>332</v>
      </c>
      <c r="D22" s="30">
        <f>COUNTIF('👥 Mitarbeiter'!L7:L106,"Nein")</f>
        <v>2</v>
      </c>
      <c r="E22" s="76" t="s">
        <v>364</v>
      </c>
      <c r="F22" s="30" t="str">
        <f>IF(VALUE(D22)&lt;=VALUE(C22),"✅ OK","❌ "&amp;D22&amp;" Verstoß")</f>
        <v>❌ 2 Verstoß</v>
      </c>
      <c r="G22" s="77">
        <v>0.5</v>
      </c>
    </row>
    <row r="23" spans="1:7" ht="31.5" customHeight="1" x14ac:dyDescent="0.25">
      <c r="A23" s="73" t="s">
        <v>365</v>
      </c>
      <c r="B23" s="74" t="s">
        <v>366</v>
      </c>
      <c r="C23" s="75" t="s">
        <v>332</v>
      </c>
      <c r="D23" s="30">
        <f>COUNTIF('📋 Plan Monat'!C20:AG20,"❌")</f>
        <v>31</v>
      </c>
      <c r="E23" s="76" t="s">
        <v>367</v>
      </c>
      <c r="F23" s="30" t="str">
        <f>IF(VALUE(D23)&lt;=VALUE(C23),"✅ OK","❌ "&amp;D23&amp;" Verstoß")</f>
        <v>❌ 31 Verstoß</v>
      </c>
      <c r="G23" s="77">
        <v>1</v>
      </c>
    </row>
    <row r="24" spans="1:7" ht="31.5" customHeight="1" x14ac:dyDescent="0.25">
      <c r="A24" s="73" t="s">
        <v>368</v>
      </c>
      <c r="B24" s="74" t="s">
        <v>369</v>
      </c>
      <c r="C24" s="75" t="s">
        <v>332</v>
      </c>
      <c r="D24" s="30">
        <f>0</f>
        <v>0</v>
      </c>
      <c r="E24" s="76" t="s">
        <v>370</v>
      </c>
      <c r="F24" s="30" t="str">
        <f>IF(VALUE(D24)&lt;=VALUE(C24),"✅ OK","❌ "&amp;D24&amp;" Verstoß")</f>
        <v>✅ OK</v>
      </c>
      <c r="G24" s="77">
        <v>0.5</v>
      </c>
    </row>
    <row r="25" spans="1:7" ht="31.5" customHeight="1" x14ac:dyDescent="0.25">
      <c r="A25" s="73" t="s">
        <v>371</v>
      </c>
      <c r="B25" s="74" t="s">
        <v>372</v>
      </c>
      <c r="C25" s="75" t="s">
        <v>332</v>
      </c>
      <c r="D25" s="30">
        <f>COUNTIF('📋 Plan Monat'!AN7:AN16,"🔴*")</f>
        <v>0</v>
      </c>
      <c r="E25" s="76" t="s">
        <v>373</v>
      </c>
      <c r="F25" s="30" t="str">
        <f>IF(VALUE(D25)&lt;=VALUE(C25),"✅ OK","❌ "&amp;D25&amp;" Verstoß")</f>
        <v>✅ OK</v>
      </c>
      <c r="G25" s="77">
        <v>1</v>
      </c>
    </row>
    <row r="26" spans="1:7" ht="31.5" customHeight="1" x14ac:dyDescent="0.25">
      <c r="A26" s="73" t="s">
        <v>374</v>
      </c>
      <c r="B26" s="74" t="s">
        <v>372</v>
      </c>
      <c r="C26" s="75" t="s">
        <v>332</v>
      </c>
      <c r="D26" s="30">
        <f>0</f>
        <v>0</v>
      </c>
      <c r="E26" s="76" t="s">
        <v>375</v>
      </c>
      <c r="F26" s="30" t="str">
        <f>IF(VALUE(D26)&lt;=VALUE(C26),"✅ OK","❌ "&amp;D26&amp;" Verstoß")</f>
        <v>✅ OK</v>
      </c>
      <c r="G26" s="77">
        <v>0.5</v>
      </c>
    </row>
    <row r="29" spans="1:7" ht="15" customHeight="1" x14ac:dyDescent="0.25">
      <c r="A29" s="2" t="s">
        <v>376</v>
      </c>
      <c r="B29" s="2"/>
      <c r="C29" s="2"/>
      <c r="D29" s="2"/>
      <c r="E29" s="2"/>
      <c r="F29" s="2"/>
      <c r="G29" s="2"/>
    </row>
    <row r="30" spans="1:7" ht="37.5" customHeight="1" x14ac:dyDescent="0.25">
      <c r="A30" s="1" t="s">
        <v>377</v>
      </c>
      <c r="B30" s="1"/>
      <c r="C30" s="1"/>
      <c r="D30" s="1"/>
      <c r="E30" s="1"/>
      <c r="F30" s="1"/>
      <c r="G30" s="1"/>
    </row>
    <row r="32" spans="1:7" ht="15" customHeight="1" x14ac:dyDescent="0.25">
      <c r="A32" s="112" t="s">
        <v>378</v>
      </c>
      <c r="B32" s="112"/>
      <c r="C32" s="112"/>
      <c r="D32" s="112"/>
      <c r="E32" s="112"/>
      <c r="F32" s="112"/>
      <c r="G32" s="112"/>
    </row>
    <row r="33" spans="1:7" ht="37.5" customHeight="1" x14ac:dyDescent="0.25">
      <c r="A33" s="113" t="s">
        <v>379</v>
      </c>
      <c r="B33" s="113"/>
      <c r="C33" s="113"/>
      <c r="D33" s="113"/>
      <c r="E33" s="113"/>
      <c r="F33" s="113"/>
      <c r="G33" s="113"/>
    </row>
    <row r="40" spans="1:7" x14ac:dyDescent="0.25">
      <c r="A40" s="33" t="s">
        <v>136</v>
      </c>
    </row>
    <row r="41" spans="1:7" x14ac:dyDescent="0.25">
      <c r="A41" s="34" t="s">
        <v>137</v>
      </c>
    </row>
  </sheetData>
  <mergeCells count="8">
    <mergeCell ref="A30:G30"/>
    <mergeCell ref="A32:G32"/>
    <mergeCell ref="A33:G33"/>
    <mergeCell ref="A4:G4"/>
    <mergeCell ref="A5:B5"/>
    <mergeCell ref="A6:B6"/>
    <mergeCell ref="A10:G10"/>
    <mergeCell ref="A29:G29"/>
  </mergeCells>
  <pageMargins left="0.4" right="0.4" top="0.5" bottom="0.5" header="0.511811023622047" footer="0.511811023622047"/>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8" customWidth="1"/>
    <col min="3" max="3" width="32" customWidth="1"/>
    <col min="4" max="4" width="14" customWidth="1"/>
    <col min="5" max="5" width="28" customWidth="1"/>
    <col min="6" max="7" width="18" customWidth="1"/>
  </cols>
  <sheetData>
    <row r="1" spans="1:29" ht="37.5" customHeight="1" x14ac:dyDescent="0.25">
      <c r="A1" s="15" t="s">
        <v>0</v>
      </c>
      <c r="B1" s="16" t="s">
        <v>380</v>
      </c>
    </row>
    <row r="2" spans="1:29" ht="18" customHeight="1" x14ac:dyDescent="0.25">
      <c r="A2" s="17" t="s">
        <v>2</v>
      </c>
      <c r="B2" s="18" t="s">
        <v>381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0" customHeight="1" x14ac:dyDescent="0.25">
      <c r="A5" s="24" t="s">
        <v>68</v>
      </c>
      <c r="B5" s="24" t="s">
        <v>382</v>
      </c>
      <c r="C5" s="24" t="s">
        <v>383</v>
      </c>
      <c r="D5" s="24" t="s">
        <v>384</v>
      </c>
      <c r="E5" s="24" t="s">
        <v>149</v>
      </c>
      <c r="F5" s="24" t="s">
        <v>385</v>
      </c>
      <c r="G5" s="24" t="s">
        <v>154</v>
      </c>
    </row>
    <row r="6" spans="1:29" x14ac:dyDescent="0.25">
      <c r="A6" s="35" t="s">
        <v>73</v>
      </c>
      <c r="B6" s="25" t="s">
        <v>386</v>
      </c>
      <c r="C6" s="25" t="s">
        <v>387</v>
      </c>
      <c r="D6" s="35">
        <v>32</v>
      </c>
      <c r="E6" s="25" t="s">
        <v>74</v>
      </c>
      <c r="F6" s="35" t="s">
        <v>388</v>
      </c>
      <c r="G6" s="40" t="s">
        <v>163</v>
      </c>
    </row>
    <row r="7" spans="1:29" x14ac:dyDescent="0.25">
      <c r="A7" s="35" t="s">
        <v>77</v>
      </c>
      <c r="B7" s="25" t="s">
        <v>389</v>
      </c>
      <c r="C7" s="25" t="s">
        <v>390</v>
      </c>
      <c r="D7" s="35">
        <v>28</v>
      </c>
      <c r="E7" s="25" t="s">
        <v>74</v>
      </c>
      <c r="F7" s="35" t="s">
        <v>388</v>
      </c>
      <c r="G7" s="40" t="s">
        <v>163</v>
      </c>
    </row>
    <row r="8" spans="1:29" x14ac:dyDescent="0.25">
      <c r="A8" s="35" t="s">
        <v>81</v>
      </c>
      <c r="B8" s="25" t="s">
        <v>391</v>
      </c>
      <c r="C8" s="25" t="s">
        <v>392</v>
      </c>
      <c r="D8" s="35">
        <v>12</v>
      </c>
      <c r="E8" s="25" t="s">
        <v>74</v>
      </c>
      <c r="F8" s="35" t="s">
        <v>388</v>
      </c>
      <c r="G8" s="40" t="s">
        <v>163</v>
      </c>
    </row>
    <row r="9" spans="1:29" x14ac:dyDescent="0.25">
      <c r="A9" s="35" t="s">
        <v>393</v>
      </c>
      <c r="B9" s="25" t="s">
        <v>394</v>
      </c>
      <c r="C9" s="25" t="s">
        <v>394</v>
      </c>
      <c r="D9" s="35">
        <v>8</v>
      </c>
      <c r="E9" s="25" t="s">
        <v>74</v>
      </c>
      <c r="F9" s="35" t="s">
        <v>388</v>
      </c>
      <c r="G9" s="40" t="s">
        <v>163</v>
      </c>
    </row>
    <row r="10" spans="1:29" x14ac:dyDescent="0.25">
      <c r="A10" s="35" t="s">
        <v>395</v>
      </c>
      <c r="B10" s="25" t="s">
        <v>396</v>
      </c>
      <c r="C10" s="25" t="s">
        <v>396</v>
      </c>
      <c r="D10" s="35">
        <v>6</v>
      </c>
      <c r="E10" s="25" t="s">
        <v>74</v>
      </c>
      <c r="F10" s="35" t="s">
        <v>388</v>
      </c>
      <c r="G10" s="40" t="s">
        <v>163</v>
      </c>
    </row>
    <row r="28" spans="1:7" ht="15" customHeight="1" x14ac:dyDescent="0.25">
      <c r="A28" s="2" t="s">
        <v>397</v>
      </c>
      <c r="B28" s="2"/>
      <c r="C28" s="2"/>
      <c r="D28" s="2"/>
      <c r="E28" s="2"/>
      <c r="F28" s="2"/>
      <c r="G28" s="2"/>
    </row>
    <row r="29" spans="1:7" ht="37.5" customHeight="1" x14ac:dyDescent="0.25">
      <c r="A29" s="1" t="s">
        <v>398</v>
      </c>
      <c r="B29" s="1"/>
      <c r="C29" s="1"/>
      <c r="D29" s="1"/>
      <c r="E29" s="1"/>
      <c r="F29" s="1"/>
      <c r="G29" s="1"/>
    </row>
    <row r="37" spans="1:1" x14ac:dyDescent="0.25">
      <c r="A37" s="33" t="s">
        <v>136</v>
      </c>
    </row>
    <row r="38" spans="1:1" x14ac:dyDescent="0.25">
      <c r="A38" s="34" t="s">
        <v>137</v>
      </c>
    </row>
  </sheetData>
  <mergeCells count="2">
    <mergeCell ref="A28:G28"/>
    <mergeCell ref="A29:G29"/>
  </mergeCells>
  <dataValidations count="2">
    <dataValidation type="list" allowBlank="1" showInputMessage="1" errorTitle="Eingabefehler" error="Ungültige Auswahl" promptTitle="Bereich (PpUGV)" prompt="Wählen Sie den pflegesensitiven Bereich nach § 6 PpUGV." sqref="C6:C25">
      <formula1>"Intensivmedizin (Erwachsene),Intensivmedizin (pädiatrisch),Geriatrie,Innere Medizin,Kardiologie,Allgemeine Chirurgie,Unfallchirurgie,Herzchirurgie,Neurologie,Stroke-Unit,Neurol. Frührehabilitation,Orthopädie,Gynäkologie &amp; Geburtshilfe,Pädiatrie (allgemein"</formula1>
      <formula2>0</formula2>
    </dataValidation>
    <dataValidation type="list" allowBlank="1" errorTitle="Eingabefehler" error="Ungültige Auswahl" sqref="G6:G25">
      <formula1>"Aktiv,Inaktiv"</formula1>
      <formula2>0</formula2>
    </dataValidation>
  </dataValidations>
  <pageMargins left="0.4" right="0.4" top="0.5" bottom="0.5"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8"/>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4" customWidth="1"/>
    <col min="2" max="2" width="28" customWidth="1"/>
    <col min="3" max="5" width="12" customWidth="1"/>
    <col min="6" max="11" width="14" customWidth="1"/>
  </cols>
  <sheetData>
    <row r="1" spans="1:29" ht="37.5" customHeight="1" x14ac:dyDescent="0.25">
      <c r="A1" s="15" t="s">
        <v>0</v>
      </c>
      <c r="B1" s="16" t="s">
        <v>399</v>
      </c>
    </row>
    <row r="2" spans="1:29" ht="18" customHeight="1" x14ac:dyDescent="0.25">
      <c r="A2" s="17" t="s">
        <v>2</v>
      </c>
      <c r="B2" s="18" t="s">
        <v>400</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248</v>
      </c>
      <c r="B5" s="24" t="s">
        <v>382</v>
      </c>
      <c r="C5" s="24" t="s">
        <v>183</v>
      </c>
      <c r="D5" s="24" t="s">
        <v>401</v>
      </c>
      <c r="E5" s="24" t="s">
        <v>402</v>
      </c>
      <c r="F5" s="24" t="s">
        <v>403</v>
      </c>
      <c r="G5" s="24" t="s">
        <v>404</v>
      </c>
      <c r="H5" s="24" t="s">
        <v>405</v>
      </c>
      <c r="I5" s="24" t="s">
        <v>406</v>
      </c>
      <c r="J5" s="24" t="s">
        <v>407</v>
      </c>
      <c r="K5" s="24" t="s">
        <v>408</v>
      </c>
    </row>
    <row r="6" spans="1:29" x14ac:dyDescent="0.25">
      <c r="A6" s="36">
        <v>46147</v>
      </c>
      <c r="B6" s="25" t="s">
        <v>386</v>
      </c>
      <c r="C6" s="35" t="s">
        <v>409</v>
      </c>
      <c r="D6" s="35">
        <v>28</v>
      </c>
      <c r="E6" s="35">
        <v>3</v>
      </c>
      <c r="F6" s="35">
        <v>0</v>
      </c>
      <c r="G6" s="78">
        <f t="shared" ref="G6:G12" si="0">IF((E6+F6*0.5)=0,0,D6/(E6+F6*0.5))</f>
        <v>9.3333333333333339</v>
      </c>
      <c r="H6" s="78">
        <f t="shared" ref="H6:H12" si="1">IFERROR(IF(C6="Tag",VLOOKUP(B6,Stationen_Lookup,2,FALSE()),VLOOKUP(B6,Stationen_Lookup,3,FALSE())),"")</f>
        <v>10</v>
      </c>
      <c r="I6" s="70" t="str">
        <f t="shared" ref="I6:I12" si="2">IF(H6="","–",IF(G6&gt;H6,"❌ verletzt","✅ OK"))</f>
        <v>✅ OK</v>
      </c>
      <c r="J6" s="79">
        <f t="shared" ref="J6:J12" si="3">IF((E6+F6)=0,0,F6/(E6+F6))</f>
        <v>0</v>
      </c>
      <c r="K6" s="30" t="str">
        <f t="shared" ref="K6:K12" si="4">IFERROR(IF(J6&gt;VLOOKUP(B6,Stationen_Lookup,4,FALSE()),"❌ Hilfskraft &gt;Max","✅ OK"),"")</f>
        <v>✅ OK</v>
      </c>
    </row>
    <row r="7" spans="1:29" ht="25.5" x14ac:dyDescent="0.25">
      <c r="A7" s="36">
        <v>46147</v>
      </c>
      <c r="B7" s="25" t="s">
        <v>386</v>
      </c>
      <c r="C7" s="35" t="s">
        <v>410</v>
      </c>
      <c r="D7" s="35">
        <v>28</v>
      </c>
      <c r="E7" s="35">
        <v>1</v>
      </c>
      <c r="F7" s="35">
        <v>1</v>
      </c>
      <c r="G7" s="78">
        <f t="shared" si="0"/>
        <v>18.666666666666668</v>
      </c>
      <c r="H7" s="78">
        <f t="shared" si="1"/>
        <v>22</v>
      </c>
      <c r="I7" s="70" t="str">
        <f t="shared" si="2"/>
        <v>✅ OK</v>
      </c>
      <c r="J7" s="79">
        <f t="shared" si="3"/>
        <v>0.5</v>
      </c>
      <c r="K7" s="30" t="str">
        <f t="shared" si="4"/>
        <v>❌ Hilfskraft &gt;Max</v>
      </c>
    </row>
    <row r="8" spans="1:29" ht="25.5" x14ac:dyDescent="0.25">
      <c r="A8" s="36">
        <v>46147</v>
      </c>
      <c r="B8" s="25" t="s">
        <v>389</v>
      </c>
      <c r="C8" s="35" t="s">
        <v>409</v>
      </c>
      <c r="D8" s="35">
        <v>26</v>
      </c>
      <c r="E8" s="35">
        <v>3</v>
      </c>
      <c r="F8" s="35">
        <v>1</v>
      </c>
      <c r="G8" s="78">
        <f t="shared" si="0"/>
        <v>7.4285714285714288</v>
      </c>
      <c r="H8" s="78">
        <f t="shared" si="1"/>
        <v>10</v>
      </c>
      <c r="I8" s="70" t="str">
        <f t="shared" si="2"/>
        <v>✅ OK</v>
      </c>
      <c r="J8" s="79">
        <f t="shared" si="3"/>
        <v>0.25</v>
      </c>
      <c r="K8" s="30" t="str">
        <f t="shared" si="4"/>
        <v>❌ Hilfskraft &gt;Max</v>
      </c>
    </row>
    <row r="9" spans="1:29" ht="25.5" x14ac:dyDescent="0.25">
      <c r="A9" s="36">
        <v>46147</v>
      </c>
      <c r="B9" s="25" t="s">
        <v>389</v>
      </c>
      <c r="C9" s="35" t="s">
        <v>410</v>
      </c>
      <c r="D9" s="35">
        <v>26</v>
      </c>
      <c r="E9" s="35">
        <v>1</v>
      </c>
      <c r="F9" s="35">
        <v>1</v>
      </c>
      <c r="G9" s="78">
        <f t="shared" si="0"/>
        <v>17.333333333333332</v>
      </c>
      <c r="H9" s="78">
        <f t="shared" si="1"/>
        <v>20</v>
      </c>
      <c r="I9" s="70" t="str">
        <f t="shared" si="2"/>
        <v>✅ OK</v>
      </c>
      <c r="J9" s="79">
        <f t="shared" si="3"/>
        <v>0.5</v>
      </c>
      <c r="K9" s="30" t="str">
        <f t="shared" si="4"/>
        <v>❌ Hilfskraft &gt;Max</v>
      </c>
    </row>
    <row r="10" spans="1:29" x14ac:dyDescent="0.25">
      <c r="A10" s="36">
        <v>46147</v>
      </c>
      <c r="B10" s="25" t="s">
        <v>391</v>
      </c>
      <c r="C10" s="35" t="s">
        <v>409</v>
      </c>
      <c r="D10" s="35">
        <v>10</v>
      </c>
      <c r="E10" s="35">
        <v>6</v>
      </c>
      <c r="F10" s="35">
        <v>0</v>
      </c>
      <c r="G10" s="78">
        <f t="shared" si="0"/>
        <v>1.6666666666666667</v>
      </c>
      <c r="H10" s="78">
        <f t="shared" si="1"/>
        <v>2</v>
      </c>
      <c r="I10" s="70" t="str">
        <f t="shared" si="2"/>
        <v>✅ OK</v>
      </c>
      <c r="J10" s="79">
        <f t="shared" si="3"/>
        <v>0</v>
      </c>
      <c r="K10" s="30" t="str">
        <f t="shared" si="4"/>
        <v>✅ OK</v>
      </c>
    </row>
    <row r="11" spans="1:29" x14ac:dyDescent="0.25">
      <c r="A11" s="36">
        <v>46147</v>
      </c>
      <c r="B11" s="25" t="s">
        <v>391</v>
      </c>
      <c r="C11" s="35" t="s">
        <v>410</v>
      </c>
      <c r="D11" s="35">
        <v>10</v>
      </c>
      <c r="E11" s="35">
        <v>4</v>
      </c>
      <c r="F11" s="35">
        <v>0</v>
      </c>
      <c r="G11" s="78">
        <f t="shared" si="0"/>
        <v>2.5</v>
      </c>
      <c r="H11" s="78">
        <f t="shared" si="1"/>
        <v>3</v>
      </c>
      <c r="I11" s="70" t="str">
        <f t="shared" si="2"/>
        <v>✅ OK</v>
      </c>
      <c r="J11" s="79">
        <f t="shared" si="3"/>
        <v>0</v>
      </c>
      <c r="K11" s="30" t="str">
        <f t="shared" si="4"/>
        <v>✅ OK</v>
      </c>
    </row>
    <row r="12" spans="1:29" x14ac:dyDescent="0.25">
      <c r="A12" s="36">
        <v>46147</v>
      </c>
      <c r="B12" s="25" t="s">
        <v>394</v>
      </c>
      <c r="C12" s="35" t="s">
        <v>409</v>
      </c>
      <c r="D12" s="35">
        <v>8</v>
      </c>
      <c r="E12" s="35">
        <v>3</v>
      </c>
      <c r="F12" s="35">
        <v>0</v>
      </c>
      <c r="G12" s="78">
        <f t="shared" si="0"/>
        <v>2.6666666666666665</v>
      </c>
      <c r="H12" s="78">
        <f t="shared" si="1"/>
        <v>3</v>
      </c>
      <c r="I12" s="70" t="str">
        <f t="shared" si="2"/>
        <v>✅ OK</v>
      </c>
      <c r="J12" s="79">
        <f t="shared" si="3"/>
        <v>0</v>
      </c>
      <c r="K12" s="30" t="str">
        <f t="shared" si="4"/>
        <v>✅ OK</v>
      </c>
    </row>
    <row r="27" spans="1:11" ht="15" customHeight="1" x14ac:dyDescent="0.25">
      <c r="A27" s="2" t="s">
        <v>411</v>
      </c>
      <c r="B27" s="2"/>
      <c r="C27" s="2"/>
      <c r="D27" s="2"/>
      <c r="E27" s="2"/>
      <c r="F27" s="2"/>
      <c r="G27" s="2"/>
      <c r="H27" s="2"/>
      <c r="I27" s="2"/>
      <c r="J27" s="2"/>
      <c r="K27" s="2"/>
    </row>
    <row r="28" spans="1:11" ht="37.5" customHeight="1" x14ac:dyDescent="0.25">
      <c r="A28" s="1" t="s">
        <v>412</v>
      </c>
      <c r="B28" s="1"/>
      <c r="C28" s="1"/>
      <c r="D28" s="1"/>
      <c r="E28" s="1"/>
      <c r="F28" s="1"/>
      <c r="G28" s="1"/>
      <c r="H28" s="1"/>
      <c r="I28" s="1"/>
      <c r="J28" s="1"/>
      <c r="K28" s="1"/>
    </row>
    <row r="30" spans="1:11" x14ac:dyDescent="0.25">
      <c r="A30" s="116" t="s">
        <v>413</v>
      </c>
      <c r="B30" s="116"/>
      <c r="C30" s="116"/>
      <c r="D30" s="116"/>
      <c r="E30" s="116"/>
      <c r="F30" s="116"/>
      <c r="G30" s="116"/>
      <c r="H30" s="116"/>
      <c r="I30" s="116"/>
      <c r="J30" s="116"/>
      <c r="K30" s="116"/>
    </row>
    <row r="31" spans="1:11" ht="36" x14ac:dyDescent="0.25">
      <c r="A31" s="80" t="s">
        <v>382</v>
      </c>
      <c r="B31" s="80" t="s">
        <v>414</v>
      </c>
      <c r="C31" s="80" t="s">
        <v>415</v>
      </c>
      <c r="D31" s="80" t="s">
        <v>416</v>
      </c>
      <c r="E31" s="80" t="s">
        <v>417</v>
      </c>
      <c r="G31" s="80" t="s">
        <v>418</v>
      </c>
      <c r="H31" s="80" t="s">
        <v>409</v>
      </c>
      <c r="I31" s="80" t="s">
        <v>410</v>
      </c>
      <c r="J31" s="80" t="s">
        <v>419</v>
      </c>
    </row>
    <row r="32" spans="1:11" ht="24" x14ac:dyDescent="0.25">
      <c r="A32" s="81" t="str">
        <f>IFERROR('🏥 Stationen'!B6,"")</f>
        <v>Station 3 – Innere</v>
      </c>
      <c r="B32" s="44">
        <f>IFERROR(VLOOKUP('🏥 Stationen'!C6,$G$32:$J$51,2,FALSE()),"")</f>
        <v>10</v>
      </c>
      <c r="C32" s="44">
        <f>IFERROR(VLOOKUP('🏥 Stationen'!C6,$G$32:$J$51,3,FALSE()),"")</f>
        <v>22</v>
      </c>
      <c r="D32" s="82">
        <f>IFERROR(VLOOKUP('🏥 Stationen'!C6,$G$32:$J$51,4,FALSE()),"")</f>
        <v>0.1</v>
      </c>
      <c r="E32" s="83" t="str">
        <f>IFERROR('🏥 Stationen'!C6,"")</f>
        <v>Innere Medizin</v>
      </c>
      <c r="G32" s="84" t="s">
        <v>392</v>
      </c>
      <c r="H32" s="85">
        <v>2</v>
      </c>
      <c r="I32" s="85">
        <v>3</v>
      </c>
      <c r="J32" s="86">
        <v>0.05</v>
      </c>
    </row>
    <row r="33" spans="1:10" ht="24" x14ac:dyDescent="0.25">
      <c r="A33" s="81" t="str">
        <f>IFERROR('🏥 Stationen'!B7,"")</f>
        <v>Station 5 – Geriatrie</v>
      </c>
      <c r="B33" s="44">
        <f>IFERROR(VLOOKUP('🏥 Stationen'!C7,$G$32:$J$51,2,FALSE()),"")</f>
        <v>10</v>
      </c>
      <c r="C33" s="44">
        <f>IFERROR(VLOOKUP('🏥 Stationen'!C7,$G$32:$J$51,3,FALSE()),"")</f>
        <v>20</v>
      </c>
      <c r="D33" s="82">
        <f>IFERROR(VLOOKUP('🏥 Stationen'!C7,$G$32:$J$51,4,FALSE()),"")</f>
        <v>0.15</v>
      </c>
      <c r="E33" s="83" t="str">
        <f>IFERROR('🏥 Stationen'!C7,"")</f>
        <v>Geriatrie</v>
      </c>
      <c r="G33" s="84" t="s">
        <v>420</v>
      </c>
      <c r="H33" s="85">
        <v>2</v>
      </c>
      <c r="I33" s="85">
        <v>3</v>
      </c>
      <c r="J33" s="86">
        <v>0.05</v>
      </c>
    </row>
    <row r="34" spans="1:10" x14ac:dyDescent="0.25">
      <c r="A34" s="81" t="str">
        <f>IFERROR('🏥 Stationen'!B8,"")</f>
        <v>Intensiv 1</v>
      </c>
      <c r="B34" s="44">
        <f>IFERROR(VLOOKUP('🏥 Stationen'!C8,$G$32:$J$51,2,FALSE()),"")</f>
        <v>2</v>
      </c>
      <c r="C34" s="44">
        <f>IFERROR(VLOOKUP('🏥 Stationen'!C8,$G$32:$J$51,3,FALSE()),"")</f>
        <v>3</v>
      </c>
      <c r="D34" s="82">
        <f>IFERROR(VLOOKUP('🏥 Stationen'!C8,$G$32:$J$51,4,FALSE()),"")</f>
        <v>0.05</v>
      </c>
      <c r="E34" s="83" t="str">
        <f>IFERROR('🏥 Stationen'!C8,"")</f>
        <v>Intensivmedizin (Erwachsene)</v>
      </c>
      <c r="G34" s="84" t="s">
        <v>390</v>
      </c>
      <c r="H34" s="85">
        <v>10</v>
      </c>
      <c r="I34" s="85">
        <v>20</v>
      </c>
      <c r="J34" s="86">
        <v>0.15</v>
      </c>
    </row>
    <row r="35" spans="1:10" x14ac:dyDescent="0.25">
      <c r="A35" s="81" t="str">
        <f>IFERROR('🏥 Stationen'!B9,"")</f>
        <v>Stroke-Unit</v>
      </c>
      <c r="B35" s="44">
        <f>IFERROR(VLOOKUP('🏥 Stationen'!C9,$G$32:$J$51,2,FALSE()),"")</f>
        <v>3</v>
      </c>
      <c r="C35" s="44">
        <f>IFERROR(VLOOKUP('🏥 Stationen'!C9,$G$32:$J$51,3,FALSE()),"")</f>
        <v>5</v>
      </c>
      <c r="D35" s="82">
        <f>IFERROR(VLOOKUP('🏥 Stationen'!C9,$G$32:$J$51,4,FALSE()),"")</f>
        <v>0.05</v>
      </c>
      <c r="E35" s="83" t="str">
        <f>IFERROR('🏥 Stationen'!C9,"")</f>
        <v>Stroke-Unit</v>
      </c>
      <c r="G35" s="84" t="s">
        <v>387</v>
      </c>
      <c r="H35" s="85">
        <v>10</v>
      </c>
      <c r="I35" s="85">
        <v>22</v>
      </c>
      <c r="J35" s="86">
        <v>0.1</v>
      </c>
    </row>
    <row r="36" spans="1:10" x14ac:dyDescent="0.25">
      <c r="A36" s="81" t="str">
        <f>IFERROR('🏥 Stationen'!B10,"")</f>
        <v>Neonatologie</v>
      </c>
      <c r="B36" s="44">
        <f>IFERROR(VLOOKUP('🏥 Stationen'!C10,$G$32:$J$51,2,FALSE()),"")</f>
        <v>3</v>
      </c>
      <c r="C36" s="44">
        <f>IFERROR(VLOOKUP('🏥 Stationen'!C10,$G$32:$J$51,3,FALSE()),"")</f>
        <v>5</v>
      </c>
      <c r="D36" s="82">
        <f>IFERROR(VLOOKUP('🏥 Stationen'!C10,$G$32:$J$51,4,FALSE()),"")</f>
        <v>0.05</v>
      </c>
      <c r="E36" s="83" t="str">
        <f>IFERROR('🏥 Stationen'!C10,"")</f>
        <v>Neonatologie</v>
      </c>
      <c r="G36" s="84" t="s">
        <v>421</v>
      </c>
      <c r="H36" s="85">
        <v>10</v>
      </c>
      <c r="I36" s="85">
        <v>22</v>
      </c>
      <c r="J36" s="86">
        <v>0.1</v>
      </c>
    </row>
    <row r="37" spans="1:10" ht="24" x14ac:dyDescent="0.25">
      <c r="A37" s="81">
        <f>IFERROR('🏥 Stationen'!B11,"")</f>
        <v>0</v>
      </c>
      <c r="B37" s="44" t="str">
        <f>IFERROR(VLOOKUP('🏥 Stationen'!C11,$G$32:$J$51,2,FALSE()),"")</f>
        <v/>
      </c>
      <c r="C37" s="44" t="str">
        <f>IFERROR(VLOOKUP('🏥 Stationen'!C11,$G$32:$J$51,3,FALSE()),"")</f>
        <v/>
      </c>
      <c r="D37" s="82" t="str">
        <f>IFERROR(VLOOKUP('🏥 Stationen'!C11,$G$32:$J$51,4,FALSE()),"")</f>
        <v/>
      </c>
      <c r="E37" s="83">
        <f>IFERROR('🏥 Stationen'!C11,"")</f>
        <v>0</v>
      </c>
      <c r="G37" s="84" t="s">
        <v>422</v>
      </c>
      <c r="H37" s="85">
        <v>10</v>
      </c>
      <c r="I37" s="85">
        <v>20</v>
      </c>
      <c r="J37" s="86">
        <v>0.08</v>
      </c>
    </row>
    <row r="38" spans="1:10" x14ac:dyDescent="0.25">
      <c r="A38" s="81">
        <f>IFERROR('🏥 Stationen'!B12,"")</f>
        <v>0</v>
      </c>
      <c r="B38" s="44" t="str">
        <f>IFERROR(VLOOKUP('🏥 Stationen'!C12,$G$32:$J$51,2,FALSE()),"")</f>
        <v/>
      </c>
      <c r="C38" s="44" t="str">
        <f>IFERROR(VLOOKUP('🏥 Stationen'!C12,$G$32:$J$51,3,FALSE()),"")</f>
        <v/>
      </c>
      <c r="D38" s="82" t="str">
        <f>IFERROR(VLOOKUP('🏥 Stationen'!C12,$G$32:$J$51,4,FALSE()),"")</f>
        <v/>
      </c>
      <c r="E38" s="83">
        <f>IFERROR('🏥 Stationen'!C12,"")</f>
        <v>0</v>
      </c>
      <c r="G38" s="84" t="s">
        <v>423</v>
      </c>
      <c r="H38" s="85">
        <v>10</v>
      </c>
      <c r="I38" s="85">
        <v>20</v>
      </c>
      <c r="J38" s="86">
        <v>0.08</v>
      </c>
    </row>
    <row r="39" spans="1:10" x14ac:dyDescent="0.25">
      <c r="A39" s="81">
        <f>IFERROR('🏥 Stationen'!B13,"")</f>
        <v>0</v>
      </c>
      <c r="B39" s="44" t="str">
        <f>IFERROR(VLOOKUP('🏥 Stationen'!C13,$G$32:$J$51,2,FALSE()),"")</f>
        <v/>
      </c>
      <c r="C39" s="44" t="str">
        <f>IFERROR(VLOOKUP('🏥 Stationen'!C13,$G$32:$J$51,3,FALSE()),"")</f>
        <v/>
      </c>
      <c r="D39" s="82" t="str">
        <f>IFERROR(VLOOKUP('🏥 Stationen'!C13,$G$32:$J$51,4,FALSE()),"")</f>
        <v/>
      </c>
      <c r="E39" s="83">
        <f>IFERROR('🏥 Stationen'!C13,"")</f>
        <v>0</v>
      </c>
      <c r="G39" s="84" t="s">
        <v>424</v>
      </c>
      <c r="H39" s="85">
        <v>7</v>
      </c>
      <c r="I39" s="85">
        <v>15</v>
      </c>
      <c r="J39" s="86">
        <v>0.05</v>
      </c>
    </row>
    <row r="40" spans="1:10" x14ac:dyDescent="0.25">
      <c r="A40" s="81">
        <f>IFERROR('🏥 Stationen'!B14,"")</f>
        <v>0</v>
      </c>
      <c r="B40" s="44" t="str">
        <f>IFERROR(VLOOKUP('🏥 Stationen'!C14,$G$32:$J$51,2,FALSE()),"")</f>
        <v/>
      </c>
      <c r="C40" s="44" t="str">
        <f>IFERROR(VLOOKUP('🏥 Stationen'!C14,$G$32:$J$51,3,FALSE()),"")</f>
        <v/>
      </c>
      <c r="D40" s="82" t="str">
        <f>IFERROR(VLOOKUP('🏥 Stationen'!C14,$G$32:$J$51,4,FALSE()),"")</f>
        <v/>
      </c>
      <c r="E40" s="83">
        <f>IFERROR('🏥 Stationen'!C14,"")</f>
        <v>0</v>
      </c>
      <c r="G40" s="84" t="s">
        <v>425</v>
      </c>
      <c r="H40" s="85">
        <v>10</v>
      </c>
      <c r="I40" s="85">
        <v>18</v>
      </c>
      <c r="J40" s="86">
        <v>0.08</v>
      </c>
    </row>
    <row r="41" spans="1:10" x14ac:dyDescent="0.25">
      <c r="A41" s="81">
        <f>IFERROR('🏥 Stationen'!B15,"")</f>
        <v>0</v>
      </c>
      <c r="B41" s="44" t="str">
        <f>IFERROR(VLOOKUP('🏥 Stationen'!C15,$G$32:$J$51,2,FALSE()),"")</f>
        <v/>
      </c>
      <c r="C41" s="44" t="str">
        <f>IFERROR(VLOOKUP('🏥 Stationen'!C15,$G$32:$J$51,3,FALSE()),"")</f>
        <v/>
      </c>
      <c r="D41" s="82" t="str">
        <f>IFERROR(VLOOKUP('🏥 Stationen'!C15,$G$32:$J$51,4,FALSE()),"")</f>
        <v/>
      </c>
      <c r="E41" s="83">
        <f>IFERROR('🏥 Stationen'!C15,"")</f>
        <v>0</v>
      </c>
      <c r="G41" s="84" t="s">
        <v>394</v>
      </c>
      <c r="H41" s="85">
        <v>3</v>
      </c>
      <c r="I41" s="85">
        <v>5</v>
      </c>
      <c r="J41" s="86">
        <v>0.05</v>
      </c>
    </row>
    <row r="42" spans="1:10" ht="36" x14ac:dyDescent="0.25">
      <c r="A42" s="81">
        <f>IFERROR('🏥 Stationen'!B16,"")</f>
        <v>0</v>
      </c>
      <c r="B42" s="44" t="str">
        <f>IFERROR(VLOOKUP('🏥 Stationen'!C16,$G$32:$J$51,2,FALSE()),"")</f>
        <v/>
      </c>
      <c r="C42" s="44" t="str">
        <f>IFERROR(VLOOKUP('🏥 Stationen'!C16,$G$32:$J$51,3,FALSE()),"")</f>
        <v/>
      </c>
      <c r="D42" s="82" t="str">
        <f>IFERROR(VLOOKUP('🏥 Stationen'!C16,$G$32:$J$51,4,FALSE()),"")</f>
        <v/>
      </c>
      <c r="E42" s="83">
        <f>IFERROR('🏥 Stationen'!C16,"")</f>
        <v>0</v>
      </c>
      <c r="G42" s="84" t="s">
        <v>426</v>
      </c>
      <c r="H42" s="85">
        <v>5</v>
      </c>
      <c r="I42" s="85">
        <v>12</v>
      </c>
      <c r="J42" s="86">
        <v>0.08</v>
      </c>
    </row>
    <row r="43" spans="1:10" x14ac:dyDescent="0.25">
      <c r="A43" s="81">
        <f>IFERROR('🏥 Stationen'!B17,"")</f>
        <v>0</v>
      </c>
      <c r="B43" s="44" t="str">
        <f>IFERROR(VLOOKUP('🏥 Stationen'!C17,$G$32:$J$51,2,FALSE()),"")</f>
        <v/>
      </c>
      <c r="C43" s="44" t="str">
        <f>IFERROR(VLOOKUP('🏥 Stationen'!C17,$G$32:$J$51,3,FALSE()),"")</f>
        <v/>
      </c>
      <c r="D43" s="82" t="str">
        <f>IFERROR(VLOOKUP('🏥 Stationen'!C17,$G$32:$J$51,4,FALSE()),"")</f>
        <v/>
      </c>
      <c r="E43" s="83">
        <f>IFERROR('🏥 Stationen'!C17,"")</f>
        <v>0</v>
      </c>
      <c r="G43" s="84" t="s">
        <v>427</v>
      </c>
      <c r="H43" s="85">
        <v>10</v>
      </c>
      <c r="I43" s="85">
        <v>20</v>
      </c>
      <c r="J43" s="86">
        <v>0.1</v>
      </c>
    </row>
    <row r="44" spans="1:10" ht="24" x14ac:dyDescent="0.25">
      <c r="A44" s="81">
        <f>IFERROR('🏥 Stationen'!B18,"")</f>
        <v>0</v>
      </c>
      <c r="B44" s="44" t="str">
        <f>IFERROR(VLOOKUP('🏥 Stationen'!C18,$G$32:$J$51,2,FALSE()),"")</f>
        <v/>
      </c>
      <c r="C44" s="44" t="str">
        <f>IFERROR(VLOOKUP('🏥 Stationen'!C18,$G$32:$J$51,3,FALSE()),"")</f>
        <v/>
      </c>
      <c r="D44" s="82" t="str">
        <f>IFERROR(VLOOKUP('🏥 Stationen'!C18,$G$32:$J$51,4,FALSE()),"")</f>
        <v/>
      </c>
      <c r="E44" s="83">
        <f>IFERROR('🏥 Stationen'!C18,"")</f>
        <v>0</v>
      </c>
      <c r="G44" s="84" t="s">
        <v>428</v>
      </c>
      <c r="H44" s="85">
        <v>7</v>
      </c>
      <c r="I44" s="85">
        <v>13</v>
      </c>
      <c r="J44" s="86">
        <v>0.05</v>
      </c>
    </row>
    <row r="45" spans="1:10" ht="24" x14ac:dyDescent="0.25">
      <c r="A45" s="81">
        <f>IFERROR('🏥 Stationen'!B19,"")</f>
        <v>0</v>
      </c>
      <c r="B45" s="44" t="str">
        <f>IFERROR(VLOOKUP('🏥 Stationen'!C19,$G$32:$J$51,2,FALSE()),"")</f>
        <v/>
      </c>
      <c r="C45" s="44" t="str">
        <f>IFERROR(VLOOKUP('🏥 Stationen'!C19,$G$32:$J$51,3,FALSE()),"")</f>
        <v/>
      </c>
      <c r="D45" s="82" t="str">
        <f>IFERROR(VLOOKUP('🏥 Stationen'!C19,$G$32:$J$51,4,FALSE()),"")</f>
        <v/>
      </c>
      <c r="E45" s="83">
        <f>IFERROR('🏥 Stationen'!C19,"")</f>
        <v>0</v>
      </c>
      <c r="G45" s="84" t="s">
        <v>429</v>
      </c>
      <c r="H45" s="85">
        <v>6</v>
      </c>
      <c r="I45" s="85">
        <v>10</v>
      </c>
      <c r="J45" s="86">
        <v>0.05</v>
      </c>
    </row>
    <row r="46" spans="1:10" ht="24" x14ac:dyDescent="0.25">
      <c r="A46" s="81">
        <f>IFERROR('🏥 Stationen'!B20,"")</f>
        <v>0</v>
      </c>
      <c r="B46" s="44" t="str">
        <f>IFERROR(VLOOKUP('🏥 Stationen'!C20,$G$32:$J$51,2,FALSE()),"")</f>
        <v/>
      </c>
      <c r="C46" s="44" t="str">
        <f>IFERROR(VLOOKUP('🏥 Stationen'!C20,$G$32:$J$51,3,FALSE()),"")</f>
        <v/>
      </c>
      <c r="D46" s="82" t="str">
        <f>IFERROR(VLOOKUP('🏥 Stationen'!C20,$G$32:$J$51,4,FALSE()),"")</f>
        <v/>
      </c>
      <c r="E46" s="83">
        <f>IFERROR('🏥 Stationen'!C20,"")</f>
        <v>0</v>
      </c>
      <c r="G46" s="84" t="s">
        <v>430</v>
      </c>
      <c r="H46" s="85">
        <v>5</v>
      </c>
      <c r="I46" s="85">
        <v>8</v>
      </c>
      <c r="J46" s="86">
        <v>0.05</v>
      </c>
    </row>
    <row r="47" spans="1:10" x14ac:dyDescent="0.25">
      <c r="A47" s="81">
        <f>IFERROR('🏥 Stationen'!B21,"")</f>
        <v>0</v>
      </c>
      <c r="B47" s="44" t="str">
        <f>IFERROR(VLOOKUP('🏥 Stationen'!C21,$G$32:$J$51,2,FALSE()),"")</f>
        <v/>
      </c>
      <c r="C47" s="44" t="str">
        <f>IFERROR(VLOOKUP('🏥 Stationen'!C21,$G$32:$J$51,3,FALSE()),"")</f>
        <v/>
      </c>
      <c r="D47" s="82" t="str">
        <f>IFERROR(VLOOKUP('🏥 Stationen'!C21,$G$32:$J$51,4,FALSE()),"")</f>
        <v/>
      </c>
      <c r="E47" s="83">
        <f>IFERROR('🏥 Stationen'!C21,"")</f>
        <v>0</v>
      </c>
      <c r="G47" s="84" t="s">
        <v>396</v>
      </c>
      <c r="H47" s="85">
        <v>3</v>
      </c>
      <c r="I47" s="85">
        <v>5</v>
      </c>
      <c r="J47" s="86">
        <v>0.05</v>
      </c>
    </row>
    <row r="48" spans="1:10" x14ac:dyDescent="0.25">
      <c r="A48" s="81">
        <f>IFERROR('🏥 Stationen'!B22,"")</f>
        <v>0</v>
      </c>
      <c r="B48" s="44" t="str">
        <f>IFERROR(VLOOKUP('🏥 Stationen'!C22,$G$32:$J$51,2,FALSE()),"")</f>
        <v/>
      </c>
      <c r="C48" s="44" t="str">
        <f>IFERROR(VLOOKUP('🏥 Stationen'!C22,$G$32:$J$51,3,FALSE()),"")</f>
        <v/>
      </c>
      <c r="D48" s="82" t="str">
        <f>IFERROR(VLOOKUP('🏥 Stationen'!C22,$G$32:$J$51,4,FALSE()),"")</f>
        <v/>
      </c>
      <c r="E48" s="83">
        <f>IFERROR('🏥 Stationen'!C22,"")</f>
        <v>0</v>
      </c>
      <c r="G48" s="84" t="s">
        <v>431</v>
      </c>
      <c r="H48" s="85">
        <v>12</v>
      </c>
      <c r="I48" s="85">
        <v>24</v>
      </c>
      <c r="J48" s="86">
        <v>0.1</v>
      </c>
    </row>
    <row r="49" spans="1:10" x14ac:dyDescent="0.25">
      <c r="A49" s="81">
        <f>IFERROR('🏥 Stationen'!B23,"")</f>
        <v>0</v>
      </c>
      <c r="B49" s="44" t="str">
        <f>IFERROR(VLOOKUP('🏥 Stationen'!C23,$G$32:$J$51,2,FALSE()),"")</f>
        <v/>
      </c>
      <c r="C49" s="44" t="str">
        <f>IFERROR(VLOOKUP('🏥 Stationen'!C23,$G$32:$J$51,3,FALSE()),"")</f>
        <v/>
      </c>
      <c r="D49" s="82" t="str">
        <f>IFERROR(VLOOKUP('🏥 Stationen'!C23,$G$32:$J$51,4,FALSE()),"")</f>
        <v/>
      </c>
      <c r="E49" s="83">
        <f>IFERROR('🏥 Stationen'!C23,"")</f>
        <v>0</v>
      </c>
      <c r="G49" s="84" t="s">
        <v>432</v>
      </c>
      <c r="H49" s="85">
        <v>12</v>
      </c>
      <c r="I49" s="85">
        <v>24</v>
      </c>
      <c r="J49" s="86">
        <v>0.1</v>
      </c>
    </row>
    <row r="50" spans="1:10" x14ac:dyDescent="0.25">
      <c r="A50" s="81">
        <f>IFERROR('🏥 Stationen'!B24,"")</f>
        <v>0</v>
      </c>
      <c r="B50" s="44" t="str">
        <f>IFERROR(VLOOKUP('🏥 Stationen'!C24,$G$32:$J$51,2,FALSE()),"")</f>
        <v/>
      </c>
      <c r="C50" s="44" t="str">
        <f>IFERROR(VLOOKUP('🏥 Stationen'!C24,$G$32:$J$51,3,FALSE()),"")</f>
        <v/>
      </c>
      <c r="D50" s="82" t="str">
        <f>IFERROR(VLOOKUP('🏥 Stationen'!C24,$G$32:$J$51,4,FALSE()),"")</f>
        <v/>
      </c>
      <c r="E50" s="83">
        <f>IFERROR('🏥 Stationen'!C24,"")</f>
        <v>0</v>
      </c>
      <c r="G50" s="84" t="s">
        <v>433</v>
      </c>
      <c r="H50" s="85">
        <v>10</v>
      </c>
      <c r="I50" s="85">
        <v>22</v>
      </c>
      <c r="J50" s="86">
        <v>0.1</v>
      </c>
    </row>
    <row r="51" spans="1:10" x14ac:dyDescent="0.25">
      <c r="A51" s="81">
        <f>IFERROR('🏥 Stationen'!B25,"")</f>
        <v>0</v>
      </c>
      <c r="B51" s="44" t="str">
        <f>IFERROR(VLOOKUP('🏥 Stationen'!C25,$G$32:$J$51,2,FALSE()),"")</f>
        <v/>
      </c>
      <c r="C51" s="44" t="str">
        <f>IFERROR(VLOOKUP('🏥 Stationen'!C25,$G$32:$J$51,3,FALSE()),"")</f>
        <v/>
      </c>
      <c r="D51" s="82" t="str">
        <f>IFERROR(VLOOKUP('🏥 Stationen'!C25,$G$32:$J$51,4,FALSE()),"")</f>
        <v/>
      </c>
      <c r="E51" s="83">
        <f>IFERROR('🏥 Stationen'!C25,"")</f>
        <v>0</v>
      </c>
      <c r="G51" s="84" t="s">
        <v>434</v>
      </c>
      <c r="H51" s="85">
        <v>7</v>
      </c>
      <c r="I51" s="85">
        <v>15</v>
      </c>
      <c r="J51" s="86">
        <v>0.05</v>
      </c>
    </row>
    <row r="57" spans="1:10" x14ac:dyDescent="0.25">
      <c r="A57" s="33" t="s">
        <v>136</v>
      </c>
    </row>
    <row r="58" spans="1:10" x14ac:dyDescent="0.25">
      <c r="A58" s="34" t="s">
        <v>137</v>
      </c>
    </row>
  </sheetData>
  <mergeCells count="3">
    <mergeCell ref="A27:K27"/>
    <mergeCell ref="A28:K28"/>
    <mergeCell ref="A30:K30"/>
  </mergeCells>
  <conditionalFormatting sqref="I6:I25">
    <cfRule type="expression" dxfId="12" priority="2">
      <formula>LEFT(I6,1)="❌"</formula>
    </cfRule>
    <cfRule type="expression" dxfId="11" priority="3">
      <formula>LEFT(I6,1)="✅"</formula>
    </cfRule>
  </conditionalFormatting>
  <conditionalFormatting sqref="K6:K25">
    <cfRule type="expression" dxfId="10" priority="4">
      <formula>LEFT(K6,1)="❌"</formula>
    </cfRule>
    <cfRule type="expression" dxfId="9" priority="5">
      <formula>LEFT(K6,1)="✅"</formula>
    </cfRule>
  </conditionalFormatting>
  <dataValidations count="1">
    <dataValidation type="list" allowBlank="1" errorTitle="Eingabefehler" error="Ungültige Auswahl" sqref="C6:C25">
      <formula1>"Tag,Nacht"</formula1>
      <formula2>0</formula2>
    </dataValidation>
  </dataValidations>
  <pageMargins left="0.4" right="0.4" top="0.5" bottom="0.5" header="0.511811023622047" footer="0.511811023622047"/>
  <pageSetup paperSize="8"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28" customWidth="1"/>
    <col min="3" max="8" width="14" customWidth="1"/>
    <col min="9" max="9" width="16" customWidth="1"/>
  </cols>
  <sheetData>
    <row r="1" spans="1:29" ht="37.5" customHeight="1" x14ac:dyDescent="0.25">
      <c r="A1" s="15" t="s">
        <v>0</v>
      </c>
      <c r="B1" s="16" t="s">
        <v>435</v>
      </c>
    </row>
    <row r="2" spans="1:29" ht="18" customHeight="1" x14ac:dyDescent="0.25">
      <c r="A2" s="17" t="s">
        <v>2</v>
      </c>
      <c r="B2" s="18" t="s">
        <v>436</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x14ac:dyDescent="0.25">
      <c r="A5" s="24" t="s">
        <v>248</v>
      </c>
      <c r="B5" s="24" t="s">
        <v>382</v>
      </c>
      <c r="C5" s="24" t="s">
        <v>437</v>
      </c>
      <c r="D5" s="24" t="s">
        <v>438</v>
      </c>
      <c r="E5" s="24" t="s">
        <v>439</v>
      </c>
      <c r="F5" s="24" t="s">
        <v>440</v>
      </c>
      <c r="G5" s="24" t="s">
        <v>441</v>
      </c>
      <c r="H5" s="24" t="s">
        <v>442</v>
      </c>
      <c r="I5" s="24" t="s">
        <v>443</v>
      </c>
    </row>
    <row r="6" spans="1:29" x14ac:dyDescent="0.25">
      <c r="A6" s="36">
        <v>46147</v>
      </c>
      <c r="B6" s="25" t="s">
        <v>386</v>
      </c>
      <c r="C6" s="35">
        <v>12</v>
      </c>
      <c r="D6" s="35">
        <v>8</v>
      </c>
      <c r="E6" s="35">
        <v>6</v>
      </c>
      <c r="F6" s="35">
        <v>2</v>
      </c>
      <c r="G6" s="87">
        <f>(C6*52+D6*98+E6*179+F6*215)/60/8</f>
        <v>6.0666666666666664</v>
      </c>
      <c r="H6" s="87">
        <f>ROUND(G6*0.85,2)</f>
        <v>5.16</v>
      </c>
      <c r="I6" s="88">
        <f>IF(G6=0,0,H6/G6)</f>
        <v>0.85054945054945064</v>
      </c>
    </row>
    <row r="7" spans="1:29" x14ac:dyDescent="0.25">
      <c r="A7" s="36">
        <v>46147</v>
      </c>
      <c r="B7" s="25" t="s">
        <v>389</v>
      </c>
      <c r="C7" s="35">
        <v>8</v>
      </c>
      <c r="D7" s="35">
        <v>10</v>
      </c>
      <c r="E7" s="35">
        <v>6</v>
      </c>
      <c r="F7" s="35">
        <v>2</v>
      </c>
      <c r="G7" s="87">
        <f>(C7*52+D7*98+E7*179+F7*215)/60/8</f>
        <v>6.041666666666667</v>
      </c>
      <c r="H7" s="87">
        <f>ROUND(G6*0.85,2)</f>
        <v>5.16</v>
      </c>
      <c r="I7" s="88">
        <f>IF(G7=0,0,H7/G7)</f>
        <v>0.85406896551724132</v>
      </c>
    </row>
    <row r="8" spans="1:29" x14ac:dyDescent="0.25">
      <c r="A8" s="36">
        <v>46147</v>
      </c>
      <c r="B8" s="25" t="s">
        <v>386</v>
      </c>
      <c r="C8" s="35">
        <v>8</v>
      </c>
      <c r="D8" s="35">
        <v>6</v>
      </c>
      <c r="E8" s="35">
        <v>5</v>
      </c>
      <c r="F8" s="35">
        <v>1</v>
      </c>
      <c r="G8" s="87">
        <f>(C8*52+D8*98+E8*179+F8*215)/60/8</f>
        <v>4.4041666666666668</v>
      </c>
      <c r="H8" s="87">
        <f>ROUND(G6*0.85,2)</f>
        <v>5.16</v>
      </c>
      <c r="I8" s="88">
        <f>IF(G8=0,0,H8/G8)</f>
        <v>1.1716177861873227</v>
      </c>
    </row>
    <row r="18" spans="1:9" x14ac:dyDescent="0.25">
      <c r="A18" s="116" t="s">
        <v>444</v>
      </c>
      <c r="B18" s="116"/>
      <c r="C18" s="116"/>
      <c r="D18" s="116"/>
      <c r="E18" s="116"/>
      <c r="F18" s="116"/>
      <c r="G18" s="116"/>
      <c r="H18" s="116"/>
      <c r="I18" s="116"/>
    </row>
    <row r="19" spans="1:9" x14ac:dyDescent="0.25">
      <c r="B19" s="80" t="s">
        <v>445</v>
      </c>
      <c r="C19" s="80" t="s">
        <v>446</v>
      </c>
      <c r="D19" s="80" t="s">
        <v>447</v>
      </c>
      <c r="E19" s="80" t="s">
        <v>448</v>
      </c>
    </row>
    <row r="20" spans="1:9" x14ac:dyDescent="0.25">
      <c r="B20" s="89">
        <v>52</v>
      </c>
      <c r="C20" s="89">
        <v>98</v>
      </c>
      <c r="D20" s="89">
        <v>179</v>
      </c>
      <c r="E20" s="89">
        <v>215</v>
      </c>
    </row>
    <row r="23" spans="1:9" ht="15" customHeight="1" x14ac:dyDescent="0.25">
      <c r="A23" s="112" t="s">
        <v>449</v>
      </c>
      <c r="B23" s="112"/>
      <c r="C23" s="112"/>
      <c r="D23" s="112"/>
      <c r="E23" s="112"/>
      <c r="F23" s="112"/>
      <c r="G23" s="112"/>
      <c r="H23" s="112"/>
      <c r="I23" s="112"/>
    </row>
    <row r="24" spans="1:9" ht="37.5" customHeight="1" x14ac:dyDescent="0.25">
      <c r="A24" s="113" t="s">
        <v>450</v>
      </c>
      <c r="B24" s="113"/>
      <c r="C24" s="113"/>
      <c r="D24" s="113"/>
      <c r="E24" s="113"/>
      <c r="F24" s="113"/>
      <c r="G24" s="113"/>
      <c r="H24" s="113"/>
      <c r="I24" s="113"/>
    </row>
    <row r="32" spans="1:9" x14ac:dyDescent="0.25">
      <c r="A32" s="33" t="s">
        <v>136</v>
      </c>
    </row>
    <row r="33" spans="1:1" x14ac:dyDescent="0.25">
      <c r="A33" s="34" t="s">
        <v>137</v>
      </c>
    </row>
  </sheetData>
  <mergeCells count="3">
    <mergeCell ref="A18:I18"/>
    <mergeCell ref="A23:I23"/>
    <mergeCell ref="A24:I24"/>
  </mergeCells>
  <pageMargins left="0.4" right="0.4" top="0.5" bottom="0.5" header="0.511811023622047" footer="0.511811023622047"/>
  <pageSetup paperSize="9"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7" width="14" customWidth="1"/>
    <col min="8" max="8" width="28" customWidth="1"/>
  </cols>
  <sheetData>
    <row r="1" spans="1:29" ht="37.5" customHeight="1" x14ac:dyDescent="0.25">
      <c r="A1" s="15" t="s">
        <v>0</v>
      </c>
      <c r="B1" s="16" t="s">
        <v>451</v>
      </c>
    </row>
    <row r="2" spans="1:29" ht="18" customHeight="1" x14ac:dyDescent="0.25">
      <c r="A2" s="17" t="s">
        <v>2</v>
      </c>
      <c r="B2" s="18" t="s">
        <v>452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x14ac:dyDescent="0.25">
      <c r="A5" s="24" t="s">
        <v>202</v>
      </c>
      <c r="B5" s="24" t="s">
        <v>203</v>
      </c>
      <c r="C5" s="24" t="s">
        <v>248</v>
      </c>
      <c r="D5" s="24" t="s">
        <v>228</v>
      </c>
      <c r="E5" s="24" t="s">
        <v>287</v>
      </c>
      <c r="F5" s="24" t="s">
        <v>288</v>
      </c>
      <c r="G5" s="24" t="s">
        <v>303</v>
      </c>
      <c r="H5" s="24" t="s">
        <v>290</v>
      </c>
    </row>
    <row r="6" spans="1:29" ht="25.5" x14ac:dyDescent="0.25">
      <c r="A6" s="35" t="s">
        <v>164</v>
      </c>
      <c r="B6" s="25" t="s">
        <v>453</v>
      </c>
      <c r="C6" s="36">
        <v>46157</v>
      </c>
      <c r="D6" s="35" t="s">
        <v>116</v>
      </c>
      <c r="E6" s="90">
        <v>0.83333333333333304</v>
      </c>
      <c r="F6" s="90">
        <v>0.33333333333333298</v>
      </c>
      <c r="G6" s="91">
        <f>MOD(F6-E6,1)*24</f>
        <v>12</v>
      </c>
      <c r="H6" s="31" t="s">
        <v>454</v>
      </c>
    </row>
    <row r="7" spans="1:29" x14ac:dyDescent="0.25">
      <c r="A7" s="35" t="s">
        <v>181</v>
      </c>
      <c r="B7" s="25" t="s">
        <v>455</v>
      </c>
      <c r="C7" s="36">
        <v>46158</v>
      </c>
      <c r="D7" s="35" t="s">
        <v>119</v>
      </c>
      <c r="E7" s="90">
        <v>0.75</v>
      </c>
      <c r="F7" s="90">
        <v>0.25</v>
      </c>
      <c r="G7" s="91">
        <f>MOD(F7-E7,1)*24</f>
        <v>12</v>
      </c>
      <c r="H7" s="31" t="s">
        <v>456</v>
      </c>
    </row>
    <row r="28" spans="1:8" ht="15" customHeight="1" x14ac:dyDescent="0.25">
      <c r="A28" s="112" t="s">
        <v>457</v>
      </c>
      <c r="B28" s="112"/>
      <c r="C28" s="112"/>
      <c r="D28" s="112"/>
      <c r="E28" s="112"/>
      <c r="F28" s="112"/>
      <c r="G28" s="112"/>
      <c r="H28" s="112"/>
    </row>
    <row r="29" spans="1:8" ht="37.5" customHeight="1" x14ac:dyDescent="0.25">
      <c r="A29" s="113" t="s">
        <v>458</v>
      </c>
      <c r="B29" s="113"/>
      <c r="C29" s="113"/>
      <c r="D29" s="113"/>
      <c r="E29" s="113"/>
      <c r="F29" s="113"/>
      <c r="G29" s="113"/>
      <c r="H29" s="113"/>
    </row>
    <row r="37" spans="1:1" x14ac:dyDescent="0.25">
      <c r="A37" s="33" t="s">
        <v>136</v>
      </c>
    </row>
    <row r="38" spans="1:1" x14ac:dyDescent="0.25">
      <c r="A38" s="34" t="s">
        <v>137</v>
      </c>
    </row>
  </sheetData>
  <mergeCells count="2">
    <mergeCell ref="A28:H28"/>
    <mergeCell ref="A29:H29"/>
  </mergeCells>
  <dataValidations count="1">
    <dataValidation type="list" allowBlank="1" errorTitle="Eingabefehler" error="Ungültige Auswahl" sqref="D6:D25">
      <formula1>"Bereitschaftsdienst,Rufbereitschaft"</formula1>
      <formula2>0</formula2>
    </dataValidation>
  </dataValidations>
  <pageMargins left="0.4" right="0.4" top="0.5" bottom="0.5" header="0.511811023622047" footer="0.511811023622047"/>
  <pageSetup paperSize="9" fitToHeight="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3" width="14" customWidth="1"/>
    <col min="4" max="6" width="18" customWidth="1"/>
    <col min="7" max="7" width="14" customWidth="1"/>
    <col min="8" max="8" width="18" customWidth="1"/>
  </cols>
  <sheetData>
    <row r="1" spans="1:29" ht="37.5" customHeight="1" x14ac:dyDescent="0.25">
      <c r="A1" s="15" t="s">
        <v>0</v>
      </c>
      <c r="B1" s="16" t="s">
        <v>459</v>
      </c>
    </row>
    <row r="2" spans="1:29" ht="18" customHeight="1" x14ac:dyDescent="0.25">
      <c r="A2" s="17" t="s">
        <v>2</v>
      </c>
      <c r="B2" s="18" t="s">
        <v>460</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202</v>
      </c>
      <c r="B5" s="24" t="s">
        <v>203</v>
      </c>
      <c r="C5" s="24" t="s">
        <v>461</v>
      </c>
      <c r="D5" s="24" t="s">
        <v>462</v>
      </c>
      <c r="E5" s="24" t="s">
        <v>463</v>
      </c>
      <c r="F5" s="24" t="s">
        <v>464</v>
      </c>
      <c r="G5" s="24" t="s">
        <v>465</v>
      </c>
      <c r="H5" s="24" t="s">
        <v>466</v>
      </c>
    </row>
    <row r="6" spans="1:29" x14ac:dyDescent="0.25">
      <c r="A6" s="39" t="str">
        <f>'👥 Mitarbeiter'!A7</f>
        <v>MA001</v>
      </c>
      <c r="B6" s="31" t="str">
        <f>'👥 Mitarbeiter'!B7&amp;" "&amp;'👥 Mitarbeiter'!C7</f>
        <v>Anna Beispiel</v>
      </c>
      <c r="C6" s="35" t="s">
        <v>467</v>
      </c>
      <c r="D6" s="39">
        <f>'📋 Plan Monat'!AK7</f>
        <v>0</v>
      </c>
      <c r="E6" s="92">
        <f t="shared" ref="E6:E15" si="0">IF(D6&gt;=4,250,IF(D6&gt;=2,D6*1.49*8,0))</f>
        <v>0</v>
      </c>
      <c r="F6" s="93">
        <f t="shared" ref="F6:F15" si="1">IF(D6=0,0,IF(D6&lt;2,100,0))</f>
        <v>0</v>
      </c>
      <c r="G6" s="93">
        <f>D6*8*'👥 Mitarbeiter'!I7*0.2</f>
        <v>0</v>
      </c>
      <c r="H6" s="92">
        <f t="shared" ref="H6:H15" si="2">E6+F6+G6</f>
        <v>0</v>
      </c>
    </row>
    <row r="7" spans="1:29" x14ac:dyDescent="0.25">
      <c r="A7" s="39" t="str">
        <f>'👥 Mitarbeiter'!A8</f>
        <v>MA002</v>
      </c>
      <c r="B7" s="31" t="str">
        <f>'👥 Mitarbeiter'!B8&amp;" "&amp;'👥 Mitarbeiter'!C8</f>
        <v>Bernd Muster</v>
      </c>
      <c r="C7" s="35" t="s">
        <v>467</v>
      </c>
      <c r="D7" s="39">
        <f>'📋 Plan Monat'!AK8</f>
        <v>0</v>
      </c>
      <c r="E7" s="92">
        <f t="shared" si="0"/>
        <v>0</v>
      </c>
      <c r="F7" s="93">
        <f t="shared" si="1"/>
        <v>0</v>
      </c>
      <c r="G7" s="93">
        <f>D7*8*'👥 Mitarbeiter'!I8*0.2</f>
        <v>0</v>
      </c>
      <c r="H7" s="92">
        <f t="shared" si="2"/>
        <v>0</v>
      </c>
    </row>
    <row r="8" spans="1:29" x14ac:dyDescent="0.25">
      <c r="A8" s="39" t="str">
        <f>'👥 Mitarbeiter'!A9</f>
        <v>MA003</v>
      </c>
      <c r="B8" s="31" t="str">
        <f>'👥 Mitarbeiter'!B9&amp;" "&amp;'👥 Mitarbeiter'!C9</f>
        <v>Clara Demo</v>
      </c>
      <c r="C8" s="35" t="s">
        <v>467</v>
      </c>
      <c r="D8" s="39">
        <f>'📋 Plan Monat'!AK9</f>
        <v>0</v>
      </c>
      <c r="E8" s="92">
        <f t="shared" si="0"/>
        <v>0</v>
      </c>
      <c r="F8" s="93">
        <f t="shared" si="1"/>
        <v>0</v>
      </c>
      <c r="G8" s="93">
        <f>D8*8*'👥 Mitarbeiter'!I9*0.2</f>
        <v>0</v>
      </c>
      <c r="H8" s="92">
        <f t="shared" si="2"/>
        <v>0</v>
      </c>
    </row>
    <row r="9" spans="1:29" x14ac:dyDescent="0.25">
      <c r="A9" s="39" t="str">
        <f>'👥 Mitarbeiter'!A10</f>
        <v>MA004</v>
      </c>
      <c r="B9" s="31" t="str">
        <f>'👥 Mitarbeiter'!B10&amp;" "&amp;'👥 Mitarbeiter'!C10</f>
        <v>David Test</v>
      </c>
      <c r="C9" s="35" t="s">
        <v>467</v>
      </c>
      <c r="D9" s="39">
        <f>'📋 Plan Monat'!AK10</f>
        <v>0</v>
      </c>
      <c r="E9" s="92">
        <f t="shared" si="0"/>
        <v>0</v>
      </c>
      <c r="F9" s="93">
        <f t="shared" si="1"/>
        <v>0</v>
      </c>
      <c r="G9" s="93">
        <f>D9*8*'👥 Mitarbeiter'!I10*0.2</f>
        <v>0</v>
      </c>
      <c r="H9" s="92">
        <f t="shared" si="2"/>
        <v>0</v>
      </c>
    </row>
    <row r="10" spans="1:29" x14ac:dyDescent="0.25">
      <c r="A10" s="39" t="str">
        <f>'👥 Mitarbeiter'!A11</f>
        <v>MA005</v>
      </c>
      <c r="B10" s="31" t="str">
        <f>'👥 Mitarbeiter'!B11&amp;" "&amp;'👥 Mitarbeiter'!C11</f>
        <v>Eva Vorlage</v>
      </c>
      <c r="C10" s="35" t="s">
        <v>467</v>
      </c>
      <c r="D10" s="39">
        <f>'📋 Plan Monat'!AK11</f>
        <v>0</v>
      </c>
      <c r="E10" s="92">
        <f t="shared" si="0"/>
        <v>0</v>
      </c>
      <c r="F10" s="93">
        <f t="shared" si="1"/>
        <v>0</v>
      </c>
      <c r="G10" s="93">
        <f>D10*8*'👥 Mitarbeiter'!I11*0.2</f>
        <v>0</v>
      </c>
      <c r="H10" s="92">
        <f t="shared" si="2"/>
        <v>0</v>
      </c>
    </row>
    <row r="11" spans="1:29" x14ac:dyDescent="0.25">
      <c r="A11" s="39" t="str">
        <f>'👥 Mitarbeiter'!A12</f>
        <v>MA006</v>
      </c>
      <c r="B11" s="31" t="str">
        <f>'👥 Mitarbeiter'!B12&amp;" "&amp;'👥 Mitarbeiter'!C12</f>
        <v>Frank Schicht</v>
      </c>
      <c r="C11" s="35" t="s">
        <v>467</v>
      </c>
      <c r="D11" s="39">
        <f>'📋 Plan Monat'!AK12</f>
        <v>0</v>
      </c>
      <c r="E11" s="92">
        <f t="shared" si="0"/>
        <v>0</v>
      </c>
      <c r="F11" s="93">
        <f t="shared" si="1"/>
        <v>0</v>
      </c>
      <c r="G11" s="93">
        <f>D11*8*'👥 Mitarbeiter'!I12*0.2</f>
        <v>0</v>
      </c>
      <c r="H11" s="92">
        <f t="shared" si="2"/>
        <v>0</v>
      </c>
    </row>
    <row r="12" spans="1:29" x14ac:dyDescent="0.25">
      <c r="A12" s="39" t="str">
        <f>'👥 Mitarbeiter'!A13</f>
        <v>MA007</v>
      </c>
      <c r="B12" s="31" t="str">
        <f>'👥 Mitarbeiter'!B13&amp;" "&amp;'👥 Mitarbeiter'!C13</f>
        <v>Greta Plan</v>
      </c>
      <c r="C12" s="35" t="s">
        <v>467</v>
      </c>
      <c r="D12" s="39">
        <f>'📋 Plan Monat'!AK13</f>
        <v>0</v>
      </c>
      <c r="E12" s="92">
        <f t="shared" si="0"/>
        <v>0</v>
      </c>
      <c r="F12" s="93">
        <f t="shared" si="1"/>
        <v>0</v>
      </c>
      <c r="G12" s="93">
        <f>D12*8*'👥 Mitarbeiter'!I13*0.2</f>
        <v>0</v>
      </c>
      <c r="H12" s="92">
        <f t="shared" si="2"/>
        <v>0</v>
      </c>
    </row>
    <row r="13" spans="1:29" x14ac:dyDescent="0.25">
      <c r="A13" s="39" t="str">
        <f>'👥 Mitarbeiter'!A14</f>
        <v>MA008</v>
      </c>
      <c r="B13" s="31" t="str">
        <f>'👥 Mitarbeiter'!B14&amp;" "&amp;'👥 Mitarbeiter'!C14</f>
        <v>Hans Beispiel</v>
      </c>
      <c r="C13" s="35" t="s">
        <v>467</v>
      </c>
      <c r="D13" s="39">
        <f>'📋 Plan Monat'!AK14</f>
        <v>0</v>
      </c>
      <c r="E13" s="92">
        <f t="shared" si="0"/>
        <v>0</v>
      </c>
      <c r="F13" s="93">
        <f t="shared" si="1"/>
        <v>0</v>
      </c>
      <c r="G13" s="93">
        <f>D13*8*'👥 Mitarbeiter'!I14*0.2</f>
        <v>0</v>
      </c>
      <c r="H13" s="92">
        <f t="shared" si="2"/>
        <v>0</v>
      </c>
    </row>
    <row r="14" spans="1:29" x14ac:dyDescent="0.25">
      <c r="A14" s="39" t="str">
        <f>'👥 Mitarbeiter'!A15</f>
        <v>MA009</v>
      </c>
      <c r="B14" s="31" t="str">
        <f>'👥 Mitarbeiter'!B15&amp;" "&amp;'👥 Mitarbeiter'!C15</f>
        <v>Ina Muster</v>
      </c>
      <c r="C14" s="35" t="s">
        <v>467</v>
      </c>
      <c r="D14" s="39">
        <f>'📋 Plan Monat'!AK15</f>
        <v>0</v>
      </c>
      <c r="E14" s="92">
        <f t="shared" si="0"/>
        <v>0</v>
      </c>
      <c r="F14" s="93">
        <f t="shared" si="1"/>
        <v>0</v>
      </c>
      <c r="G14" s="93">
        <f>D14*8*'👥 Mitarbeiter'!I15*0.2</f>
        <v>0</v>
      </c>
      <c r="H14" s="92">
        <f t="shared" si="2"/>
        <v>0</v>
      </c>
    </row>
    <row r="15" spans="1:29" x14ac:dyDescent="0.25">
      <c r="A15" s="39" t="str">
        <f>'👥 Mitarbeiter'!A16</f>
        <v>MA010</v>
      </c>
      <c r="B15" s="31" t="str">
        <f>'👥 Mitarbeiter'!B16&amp;" "&amp;'👥 Mitarbeiter'!C16</f>
        <v>Jan Demo</v>
      </c>
      <c r="C15" s="35" t="s">
        <v>467</v>
      </c>
      <c r="D15" s="39">
        <f>'📋 Plan Monat'!AK16</f>
        <v>0</v>
      </c>
      <c r="E15" s="92">
        <f t="shared" si="0"/>
        <v>0</v>
      </c>
      <c r="F15" s="93">
        <f t="shared" si="1"/>
        <v>0</v>
      </c>
      <c r="G15" s="93">
        <f>D15*8*'👥 Mitarbeiter'!I16*0.2</f>
        <v>0</v>
      </c>
      <c r="H15" s="92">
        <f t="shared" si="2"/>
        <v>0</v>
      </c>
    </row>
    <row r="17" spans="1:8" x14ac:dyDescent="0.25">
      <c r="B17" s="94" t="s">
        <v>468</v>
      </c>
      <c r="E17" s="95">
        <f>SUM(E6:E15)</f>
        <v>0</v>
      </c>
      <c r="F17" s="95">
        <f>SUM(F6:F15)</f>
        <v>0</v>
      </c>
      <c r="G17" s="95">
        <f>SUM(G6:G15)</f>
        <v>0</v>
      </c>
      <c r="H17" s="95">
        <f>SUM(H6:H15)</f>
        <v>0</v>
      </c>
    </row>
    <row r="20" spans="1:8" ht="15" customHeight="1" x14ac:dyDescent="0.25">
      <c r="A20" s="112" t="s">
        <v>469</v>
      </c>
      <c r="B20" s="112"/>
      <c r="C20" s="112"/>
      <c r="D20" s="112"/>
      <c r="E20" s="112"/>
      <c r="F20" s="112"/>
      <c r="G20" s="112"/>
      <c r="H20" s="112"/>
    </row>
    <row r="21" spans="1:8" ht="37.5" customHeight="1" x14ac:dyDescent="0.25">
      <c r="A21" s="113" t="s">
        <v>470</v>
      </c>
      <c r="B21" s="113"/>
      <c r="C21" s="113"/>
      <c r="D21" s="113"/>
      <c r="E21" s="113"/>
      <c r="F21" s="113"/>
      <c r="G21" s="113"/>
      <c r="H21" s="113"/>
    </row>
    <row r="29" spans="1:8" x14ac:dyDescent="0.25">
      <c r="A29" s="33" t="s">
        <v>136</v>
      </c>
    </row>
    <row r="30" spans="1:8" x14ac:dyDescent="0.25">
      <c r="A30" s="34" t="s">
        <v>137</v>
      </c>
    </row>
  </sheetData>
  <mergeCells count="2">
    <mergeCell ref="A20:H20"/>
    <mergeCell ref="A21:H21"/>
  </mergeCells>
  <dataValidations count="1">
    <dataValidation type="list" allowBlank="1" errorTitle="Eingabefehler" error="Ungültige Auswahl" sqref="C6:C25">
      <formula1>"Pflege,Krankenhaus (TVöD-K),Verwaltung (TVöD-V),Anlehnung TVöD,Kein TVöD"</formula1>
      <formula2>0</formula2>
    </dataValidation>
  </dataValidations>
  <pageMargins left="0.4" right="0.4" top="0.5" bottom="0.5" header="0.511811023622047" footer="0.511811023622047"/>
  <pageSetup paperSize="9"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4" customWidth="1"/>
    <col min="3" max="3" width="14" customWidth="1"/>
    <col min="4" max="4" width="18" customWidth="1"/>
    <col min="5" max="6" width="14" customWidth="1"/>
    <col min="7" max="7" width="18" customWidth="1"/>
  </cols>
  <sheetData>
    <row r="1" spans="1:29" ht="37.5" customHeight="1" x14ac:dyDescent="0.25">
      <c r="A1" s="15" t="s">
        <v>0</v>
      </c>
      <c r="B1" s="16" t="s">
        <v>471</v>
      </c>
    </row>
    <row r="2" spans="1:29" ht="18" customHeight="1" x14ac:dyDescent="0.25">
      <c r="A2" s="17" t="s">
        <v>2</v>
      </c>
      <c r="B2" s="18" t="s">
        <v>472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202</v>
      </c>
      <c r="B5" s="24" t="s">
        <v>203</v>
      </c>
      <c r="C5" s="24" t="s">
        <v>152</v>
      </c>
      <c r="D5" s="24" t="s">
        <v>151</v>
      </c>
      <c r="E5" s="24" t="s">
        <v>473</v>
      </c>
      <c r="F5" s="24" t="s">
        <v>474</v>
      </c>
      <c r="G5" s="24" t="s">
        <v>154</v>
      </c>
    </row>
    <row r="6" spans="1:29" x14ac:dyDescent="0.25">
      <c r="A6" s="39" t="str">
        <f>'👥 Mitarbeiter'!A7</f>
        <v>MA001</v>
      </c>
      <c r="B6" s="31" t="str">
        <f>'👥 Mitarbeiter'!B7&amp;" "&amp;'👥 Mitarbeiter'!C7</f>
        <v>Anna Beispiel</v>
      </c>
      <c r="C6" s="39">
        <f ca="1">'👥 Mitarbeiter'!N7</f>
        <v>40</v>
      </c>
      <c r="D6" s="39" t="str">
        <f>'👥 Mitarbeiter'!M7</f>
        <v>Nein</v>
      </c>
      <c r="E6" s="36">
        <v>45731</v>
      </c>
      <c r="F6" s="96">
        <f t="shared" ref="F6:F15" ca="1" si="0">IF(E6="","–",IF(C6&gt;=50,EDATE(E6,12),EDATE(E6,36)))</f>
        <v>46827</v>
      </c>
      <c r="G6" s="70" t="str">
        <f t="shared" ref="G6:G15" ca="1" si="1">IF(F6="–","Keine Daten",IF(F6&lt;TODAY(),"❌ überfällig",IF(F6&lt;TODAY()+60,"⚠ in &lt;60T","✅ OK")))</f>
        <v>✅ OK</v>
      </c>
    </row>
    <row r="7" spans="1:29" x14ac:dyDescent="0.25">
      <c r="A7" s="39" t="str">
        <f>'👥 Mitarbeiter'!A8</f>
        <v>MA002</v>
      </c>
      <c r="B7" s="31" t="str">
        <f>'👥 Mitarbeiter'!B8&amp;" "&amp;'👥 Mitarbeiter'!C8</f>
        <v>Bernd Muster</v>
      </c>
      <c r="C7" s="39">
        <f ca="1">'👥 Mitarbeiter'!N8</f>
        <v>47</v>
      </c>
      <c r="D7" s="39" t="str">
        <f>'👥 Mitarbeiter'!M8</f>
        <v>Ja</v>
      </c>
      <c r="E7" s="36">
        <v>45524</v>
      </c>
      <c r="F7" s="96">
        <f t="shared" ca="1" si="0"/>
        <v>46619</v>
      </c>
      <c r="G7" s="70" t="str">
        <f t="shared" ca="1" si="1"/>
        <v>✅ OK</v>
      </c>
    </row>
    <row r="8" spans="1:29" x14ac:dyDescent="0.25">
      <c r="A8" s="39" t="str">
        <f>'👥 Mitarbeiter'!A9</f>
        <v>MA003</v>
      </c>
      <c r="B8" s="31" t="str">
        <f>'👥 Mitarbeiter'!B9&amp;" "&amp;'👥 Mitarbeiter'!C9</f>
        <v>Clara Demo</v>
      </c>
      <c r="C8" s="39">
        <f ca="1">'👥 Mitarbeiter'!N9</f>
        <v>34</v>
      </c>
      <c r="D8" s="39" t="str">
        <f>'👥 Mitarbeiter'!M9</f>
        <v>Nein</v>
      </c>
      <c r="E8" s="39"/>
      <c r="F8" s="96" t="str">
        <f t="shared" si="0"/>
        <v>–</v>
      </c>
      <c r="G8" s="70" t="str">
        <f t="shared" ca="1" si="1"/>
        <v>Keine Daten</v>
      </c>
    </row>
    <row r="9" spans="1:29" x14ac:dyDescent="0.25">
      <c r="A9" s="39" t="str">
        <f>'👥 Mitarbeiter'!A10</f>
        <v>MA004</v>
      </c>
      <c r="B9" s="31" t="str">
        <f>'👥 Mitarbeiter'!B10&amp;" "&amp;'👥 Mitarbeiter'!C10</f>
        <v>David Test</v>
      </c>
      <c r="C9" s="39">
        <f ca="1">'👥 Mitarbeiter'!N10</f>
        <v>35</v>
      </c>
      <c r="D9" s="39" t="str">
        <f>'👥 Mitarbeiter'!M10</f>
        <v>Ja</v>
      </c>
      <c r="E9" s="36">
        <v>45601</v>
      </c>
      <c r="F9" s="96">
        <f t="shared" ca="1" si="0"/>
        <v>46696</v>
      </c>
      <c r="G9" s="70" t="str">
        <f t="shared" ca="1" si="1"/>
        <v>✅ OK</v>
      </c>
    </row>
    <row r="10" spans="1:29" x14ac:dyDescent="0.25">
      <c r="A10" s="39" t="str">
        <f>'👥 Mitarbeiter'!A11</f>
        <v>MA005</v>
      </c>
      <c r="B10" s="31" t="str">
        <f>'👥 Mitarbeiter'!B11&amp;" "&amp;'👥 Mitarbeiter'!C11</f>
        <v>Eva Vorlage</v>
      </c>
      <c r="C10" s="39">
        <f ca="1">'👥 Mitarbeiter'!N11</f>
        <v>31</v>
      </c>
      <c r="D10" s="39" t="str">
        <f>'👥 Mitarbeiter'!M11</f>
        <v>Nein</v>
      </c>
      <c r="E10" s="39"/>
      <c r="F10" s="96" t="str">
        <f t="shared" si="0"/>
        <v>–</v>
      </c>
      <c r="G10" s="70" t="str">
        <f t="shared" ca="1" si="1"/>
        <v>Keine Daten</v>
      </c>
    </row>
    <row r="11" spans="1:29" x14ac:dyDescent="0.25">
      <c r="A11" s="39" t="str">
        <f>'👥 Mitarbeiter'!A12</f>
        <v>MA006</v>
      </c>
      <c r="B11" s="31" t="str">
        <f>'👥 Mitarbeiter'!B12&amp;" "&amp;'👥 Mitarbeiter'!C12</f>
        <v>Frank Schicht</v>
      </c>
      <c r="C11" s="39">
        <f ca="1">'👥 Mitarbeiter'!N12</f>
        <v>43</v>
      </c>
      <c r="D11" s="39" t="str">
        <f>'👥 Mitarbeiter'!M12</f>
        <v>Ja</v>
      </c>
      <c r="E11" s="36">
        <v>45667</v>
      </c>
      <c r="F11" s="96">
        <f t="shared" ca="1" si="0"/>
        <v>46762</v>
      </c>
      <c r="G11" s="70" t="str">
        <f t="shared" ca="1" si="1"/>
        <v>✅ OK</v>
      </c>
    </row>
    <row r="12" spans="1:29" x14ac:dyDescent="0.25">
      <c r="A12" s="39" t="str">
        <f>'👥 Mitarbeiter'!A13</f>
        <v>MA007</v>
      </c>
      <c r="B12" s="31" t="str">
        <f>'👥 Mitarbeiter'!B13&amp;" "&amp;'👥 Mitarbeiter'!C13</f>
        <v>Greta Plan</v>
      </c>
      <c r="C12" s="39">
        <f ca="1">'👥 Mitarbeiter'!N13</f>
        <v>25</v>
      </c>
      <c r="D12" s="39" t="str">
        <f>'👥 Mitarbeiter'!M13</f>
        <v>Nein</v>
      </c>
      <c r="E12" s="39"/>
      <c r="F12" s="96" t="str">
        <f t="shared" si="0"/>
        <v>–</v>
      </c>
      <c r="G12" s="70" t="str">
        <f t="shared" ca="1" si="1"/>
        <v>Keine Daten</v>
      </c>
    </row>
    <row r="13" spans="1:29" x14ac:dyDescent="0.25">
      <c r="A13" s="39" t="str">
        <f>'👥 Mitarbeiter'!A14</f>
        <v>MA008</v>
      </c>
      <c r="B13" s="31" t="str">
        <f>'👥 Mitarbeiter'!B14&amp;" "&amp;'👥 Mitarbeiter'!C14</f>
        <v>Hans Beispiel</v>
      </c>
      <c r="C13" s="39">
        <f ca="1">'👥 Mitarbeiter'!N14</f>
        <v>51</v>
      </c>
      <c r="D13" s="39" t="str">
        <f>'👥 Mitarbeiter'!M14</f>
        <v>Ja</v>
      </c>
      <c r="E13" s="36">
        <v>45187</v>
      </c>
      <c r="F13" s="96">
        <f t="shared" ca="1" si="0"/>
        <v>45553</v>
      </c>
      <c r="G13" s="70" t="str">
        <f t="shared" ca="1" si="1"/>
        <v>❌ überfällig</v>
      </c>
    </row>
    <row r="14" spans="1:29" x14ac:dyDescent="0.25">
      <c r="A14" s="39" t="str">
        <f>'👥 Mitarbeiter'!A15</f>
        <v>MA009</v>
      </c>
      <c r="B14" s="31" t="str">
        <f>'👥 Mitarbeiter'!B15&amp;" "&amp;'👥 Mitarbeiter'!C15</f>
        <v>Ina Muster</v>
      </c>
      <c r="C14" s="39">
        <f ca="1">'👥 Mitarbeiter'!N15</f>
        <v>37</v>
      </c>
      <c r="D14" s="39" t="str">
        <f>'👥 Mitarbeiter'!M15</f>
        <v>Nein</v>
      </c>
      <c r="E14" s="39"/>
      <c r="F14" s="96" t="str">
        <f t="shared" si="0"/>
        <v>–</v>
      </c>
      <c r="G14" s="70" t="str">
        <f t="shared" ca="1" si="1"/>
        <v>Keine Daten</v>
      </c>
    </row>
    <row r="15" spans="1:29" x14ac:dyDescent="0.25">
      <c r="A15" s="39" t="str">
        <f>'👥 Mitarbeiter'!A16</f>
        <v>MA010</v>
      </c>
      <c r="B15" s="31" t="str">
        <f>'👥 Mitarbeiter'!B16&amp;" "&amp;'👥 Mitarbeiter'!C16</f>
        <v>Jan Demo</v>
      </c>
      <c r="C15" s="39">
        <f ca="1">'👥 Mitarbeiter'!N16</f>
        <v>32</v>
      </c>
      <c r="D15" s="39" t="str">
        <f>'👥 Mitarbeiter'!M16</f>
        <v>Ja</v>
      </c>
      <c r="E15" s="36">
        <v>45442</v>
      </c>
      <c r="F15" s="96">
        <f t="shared" ca="1" si="0"/>
        <v>46537</v>
      </c>
      <c r="G15" s="70" t="str">
        <f t="shared" ca="1" si="1"/>
        <v>✅ OK</v>
      </c>
    </row>
    <row r="32" spans="1:1" x14ac:dyDescent="0.25">
      <c r="A32" s="33" t="s">
        <v>136</v>
      </c>
    </row>
    <row r="33" spans="1:1" x14ac:dyDescent="0.25">
      <c r="A33" s="34" t="s">
        <v>137</v>
      </c>
    </row>
  </sheetData>
  <conditionalFormatting sqref="G6:G25">
    <cfRule type="expression" dxfId="8" priority="2">
      <formula>LEFT(G6,1)="❌"</formula>
    </cfRule>
    <cfRule type="expression" dxfId="7" priority="3">
      <formula>LEFT(G6,1)="⚠"</formula>
    </cfRule>
    <cfRule type="expression" dxfId="6" priority="4">
      <formula>LEFT(G6,1)="✅"</formula>
    </cfRule>
  </conditionalFormatting>
  <pageMargins left="0.4" right="0.4" top="0.5" bottom="0.5" header="0.511811023622047" footer="0.511811023622047"/>
  <pageSetup paperSize="9" fitToHeight="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zoomScaleNormal="100" workbookViewId="0">
      <pane ySplit="17" topLeftCell="A18" activePane="bottomLeft" state="frozen"/>
      <selection pane="bottomLeft"/>
    </sheetView>
  </sheetViews>
  <sheetFormatPr baseColWidth="10" defaultColWidth="8.7109375" defaultRowHeight="15" x14ac:dyDescent="0.25"/>
  <cols>
    <col min="1" max="1" width="30" customWidth="1"/>
    <col min="2" max="6" width="18" customWidth="1"/>
  </cols>
  <sheetData>
    <row r="1" spans="1:29" ht="37.5" customHeight="1" x14ac:dyDescent="0.25">
      <c r="A1" s="15" t="s">
        <v>0</v>
      </c>
      <c r="B1" s="16" t="s">
        <v>475</v>
      </c>
    </row>
    <row r="2" spans="1:29" ht="18" customHeight="1" x14ac:dyDescent="0.25">
      <c r="A2" s="17" t="s">
        <v>2</v>
      </c>
      <c r="B2" s="18" t="s">
        <v>476</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477</v>
      </c>
      <c r="B5" s="14"/>
      <c r="C5" s="14"/>
      <c r="D5" s="14"/>
      <c r="E5" s="14"/>
      <c r="F5" s="14"/>
    </row>
    <row r="7" spans="1:29" ht="15" customHeight="1" x14ac:dyDescent="0.25">
      <c r="A7" s="11" t="s">
        <v>478</v>
      </c>
      <c r="B7" s="11"/>
      <c r="C7" s="10" t="s">
        <v>479</v>
      </c>
      <c r="D7" s="10"/>
      <c r="E7" s="117" t="s">
        <v>480</v>
      </c>
      <c r="F7" s="117"/>
    </row>
    <row r="8" spans="1:29" ht="36" customHeight="1" x14ac:dyDescent="0.25">
      <c r="A8" s="7">
        <f>SUM('📋 Plan Monat'!AH7:AH16)</f>
        <v>0</v>
      </c>
      <c r="B8" s="7"/>
      <c r="C8" s="6">
        <f>SUM('📋 Plan Monat'!AI7:AI16)</f>
        <v>0</v>
      </c>
      <c r="D8" s="6"/>
      <c r="E8" s="118">
        <f>SUM('📋 Plan Monat'!AK7:AK16)</f>
        <v>0</v>
      </c>
      <c r="F8" s="118"/>
    </row>
    <row r="11" spans="1:29" ht="15" customHeight="1" x14ac:dyDescent="0.25">
      <c r="A11" s="13" t="s">
        <v>7</v>
      </c>
      <c r="B11" s="13"/>
      <c r="C11" s="119" t="s">
        <v>481</v>
      </c>
      <c r="D11" s="119"/>
      <c r="E11" s="12" t="s">
        <v>482</v>
      </c>
      <c r="F11" s="12"/>
    </row>
    <row r="12" spans="1:29" ht="36" customHeight="1" x14ac:dyDescent="0.25">
      <c r="A12" s="120">
        <f>COUNTIF('👥 Mitarbeiter'!P7:P106,"Aktiv")</f>
        <v>10</v>
      </c>
      <c r="B12" s="120"/>
      <c r="C12" s="121">
        <f ca="1">SUM('📋 Plan Monat'!AL7:AL16)</f>
        <v>0</v>
      </c>
      <c r="D12" s="121"/>
      <c r="E12" s="8">
        <f>COUNTIF('📋 Plan Monat'!C7:AG16,"K")</f>
        <v>0</v>
      </c>
      <c r="F12" s="8"/>
    </row>
    <row r="16" spans="1:29" ht="16.5" x14ac:dyDescent="0.25">
      <c r="A16" s="115" t="s">
        <v>483</v>
      </c>
      <c r="B16" s="115"/>
      <c r="C16" s="115"/>
      <c r="D16" s="115"/>
      <c r="E16" s="115"/>
      <c r="F16" s="115"/>
    </row>
    <row r="17" spans="1:6" x14ac:dyDescent="0.25">
      <c r="A17" s="24" t="s">
        <v>202</v>
      </c>
      <c r="B17" s="24" t="s">
        <v>203</v>
      </c>
      <c r="C17" s="24" t="s">
        <v>484</v>
      </c>
      <c r="D17" s="24" t="s">
        <v>485</v>
      </c>
      <c r="E17" s="24" t="s">
        <v>486</v>
      </c>
      <c r="F17" s="24" t="s">
        <v>487</v>
      </c>
    </row>
    <row r="18" spans="1:6" x14ac:dyDescent="0.25">
      <c r="A18" s="39" t="str">
        <f>'👥 Mitarbeiter'!A7</f>
        <v>MA001</v>
      </c>
      <c r="B18" s="31" t="str">
        <f>'👥 Mitarbeiter'!B7&amp;" "&amp;'👥 Mitarbeiter'!C7</f>
        <v>Anna Beispiel</v>
      </c>
      <c r="C18" s="30">
        <f>'📋 Plan Monat'!AH7</f>
        <v>0</v>
      </c>
      <c r="D18" s="97">
        <f>'👥 Mitarbeiter'!I7</f>
        <v>18.5</v>
      </c>
      <c r="E18" s="98">
        <f t="shared" ref="E18:E27" si="0">C18*D18</f>
        <v>0</v>
      </c>
      <c r="F18" s="92">
        <f t="shared" ref="F18:F27" si="1">E18*1.22</f>
        <v>0</v>
      </c>
    </row>
    <row r="19" spans="1:6" x14ac:dyDescent="0.25">
      <c r="A19" s="39" t="str">
        <f>'👥 Mitarbeiter'!A8</f>
        <v>MA002</v>
      </c>
      <c r="B19" s="31" t="str">
        <f>'👥 Mitarbeiter'!B8&amp;" "&amp;'👥 Mitarbeiter'!C8</f>
        <v>Bernd Muster</v>
      </c>
      <c r="C19" s="30">
        <f>'📋 Plan Monat'!AH8</f>
        <v>0</v>
      </c>
      <c r="D19" s="97">
        <f>'👥 Mitarbeiter'!I8</f>
        <v>19.2</v>
      </c>
      <c r="E19" s="98">
        <f t="shared" si="0"/>
        <v>0</v>
      </c>
      <c r="F19" s="92">
        <f t="shared" si="1"/>
        <v>0</v>
      </c>
    </row>
    <row r="20" spans="1:6" x14ac:dyDescent="0.25">
      <c r="A20" s="39" t="str">
        <f>'👥 Mitarbeiter'!A9</f>
        <v>MA003</v>
      </c>
      <c r="B20" s="31" t="str">
        <f>'👥 Mitarbeiter'!B9&amp;" "&amp;'👥 Mitarbeiter'!C9</f>
        <v>Clara Demo</v>
      </c>
      <c r="C20" s="30">
        <f>'📋 Plan Monat'!AH9</f>
        <v>0</v>
      </c>
      <c r="D20" s="97">
        <f>'👥 Mitarbeiter'!I9</f>
        <v>17.8</v>
      </c>
      <c r="E20" s="98">
        <f t="shared" si="0"/>
        <v>0</v>
      </c>
      <c r="F20" s="92">
        <f t="shared" si="1"/>
        <v>0</v>
      </c>
    </row>
    <row r="21" spans="1:6" x14ac:dyDescent="0.25">
      <c r="A21" s="39" t="str">
        <f>'👥 Mitarbeiter'!A10</f>
        <v>MA004</v>
      </c>
      <c r="B21" s="31" t="str">
        <f>'👥 Mitarbeiter'!B10&amp;" "&amp;'👥 Mitarbeiter'!C10</f>
        <v>David Test</v>
      </c>
      <c r="C21" s="30">
        <f>'📋 Plan Monat'!AH10</f>
        <v>0</v>
      </c>
      <c r="D21" s="97">
        <f>'👥 Mitarbeiter'!I10</f>
        <v>18.899999999999999</v>
      </c>
      <c r="E21" s="98">
        <f t="shared" si="0"/>
        <v>0</v>
      </c>
      <c r="F21" s="92">
        <f t="shared" si="1"/>
        <v>0</v>
      </c>
    </row>
    <row r="22" spans="1:6" x14ac:dyDescent="0.25">
      <c r="A22" s="39" t="str">
        <f>'👥 Mitarbeiter'!A11</f>
        <v>MA005</v>
      </c>
      <c r="B22" s="31" t="str">
        <f>'👥 Mitarbeiter'!B11&amp;" "&amp;'👥 Mitarbeiter'!C11</f>
        <v>Eva Vorlage</v>
      </c>
      <c r="C22" s="30">
        <f>'📋 Plan Monat'!AH11</f>
        <v>0</v>
      </c>
      <c r="D22" s="97">
        <f>'👥 Mitarbeiter'!I11</f>
        <v>18</v>
      </c>
      <c r="E22" s="98">
        <f t="shared" si="0"/>
        <v>0</v>
      </c>
      <c r="F22" s="92">
        <f t="shared" si="1"/>
        <v>0</v>
      </c>
    </row>
    <row r="23" spans="1:6" x14ac:dyDescent="0.25">
      <c r="A23" s="39" t="str">
        <f>'👥 Mitarbeiter'!A12</f>
        <v>MA006</v>
      </c>
      <c r="B23" s="31" t="str">
        <f>'👥 Mitarbeiter'!B12&amp;" "&amp;'👥 Mitarbeiter'!C12</f>
        <v>Frank Schicht</v>
      </c>
      <c r="C23" s="30">
        <f>'📋 Plan Monat'!AH12</f>
        <v>0</v>
      </c>
      <c r="D23" s="97">
        <f>'👥 Mitarbeiter'!I12</f>
        <v>20.100000000000001</v>
      </c>
      <c r="E23" s="98">
        <f t="shared" si="0"/>
        <v>0</v>
      </c>
      <c r="F23" s="92">
        <f t="shared" si="1"/>
        <v>0</v>
      </c>
    </row>
    <row r="24" spans="1:6" x14ac:dyDescent="0.25">
      <c r="A24" s="39" t="str">
        <f>'👥 Mitarbeiter'!A13</f>
        <v>MA007</v>
      </c>
      <c r="B24" s="31" t="str">
        <f>'👥 Mitarbeiter'!B13&amp;" "&amp;'👥 Mitarbeiter'!C13</f>
        <v>Greta Plan</v>
      </c>
      <c r="C24" s="30">
        <f>'📋 Plan Monat'!AH13</f>
        <v>0</v>
      </c>
      <c r="D24" s="97">
        <f>'👥 Mitarbeiter'!I13</f>
        <v>12.4</v>
      </c>
      <c r="E24" s="98">
        <f t="shared" si="0"/>
        <v>0</v>
      </c>
      <c r="F24" s="92">
        <f t="shared" si="1"/>
        <v>0</v>
      </c>
    </row>
    <row r="25" spans="1:6" x14ac:dyDescent="0.25">
      <c r="A25" s="39" t="str">
        <f>'👥 Mitarbeiter'!A14</f>
        <v>MA008</v>
      </c>
      <c r="B25" s="31" t="str">
        <f>'👥 Mitarbeiter'!B14&amp;" "&amp;'👥 Mitarbeiter'!C14</f>
        <v>Hans Beispiel</v>
      </c>
      <c r="C25" s="30">
        <f>'📋 Plan Monat'!AH14</f>
        <v>0</v>
      </c>
      <c r="D25" s="97">
        <f>'👥 Mitarbeiter'!I14</f>
        <v>21.5</v>
      </c>
      <c r="E25" s="98">
        <f t="shared" si="0"/>
        <v>0</v>
      </c>
      <c r="F25" s="92">
        <f t="shared" si="1"/>
        <v>0</v>
      </c>
    </row>
    <row r="26" spans="1:6" x14ac:dyDescent="0.25">
      <c r="A26" s="39" t="str">
        <f>'👥 Mitarbeiter'!A15</f>
        <v>MA009</v>
      </c>
      <c r="B26" s="31" t="str">
        <f>'👥 Mitarbeiter'!B15&amp;" "&amp;'👥 Mitarbeiter'!C15</f>
        <v>Ina Muster</v>
      </c>
      <c r="C26" s="30">
        <f>'📋 Plan Monat'!AH15</f>
        <v>0</v>
      </c>
      <c r="D26" s="97">
        <f>'👥 Mitarbeiter'!I15</f>
        <v>15</v>
      </c>
      <c r="E26" s="98">
        <f t="shared" si="0"/>
        <v>0</v>
      </c>
      <c r="F26" s="92">
        <f t="shared" si="1"/>
        <v>0</v>
      </c>
    </row>
    <row r="27" spans="1:6" x14ac:dyDescent="0.25">
      <c r="A27" s="39" t="str">
        <f>'👥 Mitarbeiter'!A16</f>
        <v>MA010</v>
      </c>
      <c r="B27" s="31" t="str">
        <f>'👥 Mitarbeiter'!B16&amp;" "&amp;'👥 Mitarbeiter'!C16</f>
        <v>Jan Demo</v>
      </c>
      <c r="C27" s="30">
        <f>'📋 Plan Monat'!AH16</f>
        <v>0</v>
      </c>
      <c r="D27" s="97">
        <f>'👥 Mitarbeiter'!I16</f>
        <v>19.8</v>
      </c>
      <c r="E27" s="98">
        <f t="shared" si="0"/>
        <v>0</v>
      </c>
      <c r="F27" s="92">
        <f t="shared" si="1"/>
        <v>0</v>
      </c>
    </row>
    <row r="28" spans="1:6" x14ac:dyDescent="0.25">
      <c r="A28" s="99"/>
      <c r="B28" s="100" t="s">
        <v>488</v>
      </c>
      <c r="C28" s="100">
        <f>SUM(C18:C27)</f>
        <v>0</v>
      </c>
      <c r="D28" s="99"/>
      <c r="E28" s="95">
        <f>SUM(E18:E27)</f>
        <v>0</v>
      </c>
      <c r="F28" s="95">
        <f>SUM(F18:F27)</f>
        <v>0</v>
      </c>
    </row>
    <row r="31" spans="1:6" ht="15" customHeight="1" x14ac:dyDescent="0.25">
      <c r="A31" s="112" t="s">
        <v>489</v>
      </c>
      <c r="B31" s="112"/>
      <c r="C31" s="112"/>
      <c r="D31" s="112"/>
      <c r="E31" s="112"/>
      <c r="F31" s="112"/>
    </row>
    <row r="32" spans="1:6" ht="37.5" customHeight="1" x14ac:dyDescent="0.25">
      <c r="A32" s="113" t="s">
        <v>490</v>
      </c>
      <c r="B32" s="113"/>
      <c r="C32" s="113"/>
      <c r="D32" s="113"/>
      <c r="E32" s="113"/>
      <c r="F32" s="113"/>
    </row>
    <row r="38" spans="1:1" x14ac:dyDescent="0.25">
      <c r="A38" s="33" t="s">
        <v>136</v>
      </c>
    </row>
    <row r="39" spans="1:1" x14ac:dyDescent="0.25">
      <c r="A39" s="34" t="s">
        <v>137</v>
      </c>
    </row>
  </sheetData>
  <mergeCells count="16">
    <mergeCell ref="A16:F16"/>
    <mergeCell ref="A31:F31"/>
    <mergeCell ref="A32:F32"/>
    <mergeCell ref="A11:B11"/>
    <mergeCell ref="C11:D11"/>
    <mergeCell ref="E11:F11"/>
    <mergeCell ref="A12:B12"/>
    <mergeCell ref="C12:D12"/>
    <mergeCell ref="E12:F12"/>
    <mergeCell ref="A5:F5"/>
    <mergeCell ref="A7:B7"/>
    <mergeCell ref="C7:D7"/>
    <mergeCell ref="E7:F7"/>
    <mergeCell ref="A8:B8"/>
    <mergeCell ref="C8:D8"/>
    <mergeCell ref="E8:F8"/>
  </mergeCells>
  <pageMargins left="0.4" right="0.4" top="0.5" bottom="0.5" header="0.511811023622047" footer="0.511811023622047"/>
  <pageSetup paperSize="9"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6" topLeftCell="A7" activePane="bottomLeft" state="frozen"/>
      <selection pane="bottomLeft"/>
    </sheetView>
  </sheetViews>
  <sheetFormatPr baseColWidth="10" defaultColWidth="8.7109375" defaultRowHeight="15" x14ac:dyDescent="0.25"/>
  <cols>
    <col min="1" max="1" width="26" customWidth="1"/>
    <col min="2" max="6" width="18" customWidth="1"/>
    <col min="7" max="7" width="20" customWidth="1"/>
  </cols>
  <sheetData>
    <row r="1" spans="1:29" ht="37.5" customHeight="1" x14ac:dyDescent="0.25">
      <c r="A1" s="15" t="s">
        <v>0</v>
      </c>
      <c r="B1" s="16" t="s">
        <v>491</v>
      </c>
    </row>
    <row r="2" spans="1:29" ht="18" customHeight="1" x14ac:dyDescent="0.25">
      <c r="A2" s="17" t="s">
        <v>2</v>
      </c>
      <c r="B2" s="18" t="s">
        <v>492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6.5" x14ac:dyDescent="0.25">
      <c r="A5" s="115" t="s">
        <v>493</v>
      </c>
      <c r="B5" s="115"/>
      <c r="C5" s="115"/>
      <c r="D5" s="115"/>
      <c r="E5" s="115"/>
      <c r="F5" s="115"/>
      <c r="G5" s="115"/>
    </row>
    <row r="6" spans="1:29" x14ac:dyDescent="0.25">
      <c r="A6" s="24" t="s">
        <v>494</v>
      </c>
      <c r="B6" s="24" t="s">
        <v>495</v>
      </c>
      <c r="C6" s="24" t="s">
        <v>496</v>
      </c>
      <c r="D6" s="24" t="s">
        <v>497</v>
      </c>
      <c r="E6" s="24" t="s">
        <v>498</v>
      </c>
      <c r="F6" s="24" t="s">
        <v>499</v>
      </c>
      <c r="G6" s="24" t="s">
        <v>500</v>
      </c>
    </row>
    <row r="7" spans="1:29" x14ac:dyDescent="0.25">
      <c r="A7" s="31" t="str">
        <f>'👥 Mitarbeiter'!B7&amp;" "&amp;'👥 Mitarbeiter'!C7</f>
        <v>Anna Beispiel</v>
      </c>
      <c r="B7" s="39">
        <f>'📋 Plan Monat'!AI7*8</f>
        <v>0</v>
      </c>
      <c r="C7" s="39">
        <f>'📋 Plan Monat'!AJ7*8</f>
        <v>0</v>
      </c>
      <c r="D7" s="39">
        <f>'📋 Plan Monat'!AK7*8</f>
        <v>0</v>
      </c>
      <c r="E7" s="39">
        <f ca="1">'📋 Plan Monat'!AL7*8</f>
        <v>0</v>
      </c>
      <c r="F7" s="101">
        <f ca="1">D7*'👥 Mitarbeiter'!I7*'⚙️ Einstellungen'!$B$40 + E7*'👥 Mitarbeiter'!I7*'⚙️ Einstellungen'!$B$42</f>
        <v>0</v>
      </c>
      <c r="G7" s="92">
        <f ca="1">((B7+C7+D7+E7)*'👥 Mitarbeiter'!I7+F7)*1.22</f>
        <v>0</v>
      </c>
    </row>
    <row r="8" spans="1:29" x14ac:dyDescent="0.25">
      <c r="A8" s="31" t="str">
        <f>'👥 Mitarbeiter'!B8&amp;" "&amp;'👥 Mitarbeiter'!C8</f>
        <v>Bernd Muster</v>
      </c>
      <c r="B8" s="39">
        <f>'📋 Plan Monat'!AI8*8</f>
        <v>0</v>
      </c>
      <c r="C8" s="39">
        <f>'📋 Plan Monat'!AJ8*8</f>
        <v>0</v>
      </c>
      <c r="D8" s="39">
        <f>'📋 Plan Monat'!AK8*8</f>
        <v>0</v>
      </c>
      <c r="E8" s="39">
        <f ca="1">'📋 Plan Monat'!AL8*8</f>
        <v>0</v>
      </c>
      <c r="F8" s="101">
        <f ca="1">D8*'👥 Mitarbeiter'!I8*'⚙️ Einstellungen'!$B$40 + E8*'👥 Mitarbeiter'!I8*'⚙️ Einstellungen'!$B$42</f>
        <v>0</v>
      </c>
      <c r="G8" s="92">
        <f ca="1">((B8+C8+D8+E8)*'👥 Mitarbeiter'!I8+F8)*1.22</f>
        <v>0</v>
      </c>
    </row>
    <row r="9" spans="1:29" x14ac:dyDescent="0.25">
      <c r="A9" s="31" t="str">
        <f>'👥 Mitarbeiter'!B9&amp;" "&amp;'👥 Mitarbeiter'!C9</f>
        <v>Clara Demo</v>
      </c>
      <c r="B9" s="39">
        <f>'📋 Plan Monat'!AI9*8</f>
        <v>0</v>
      </c>
      <c r="C9" s="39">
        <f>'📋 Plan Monat'!AJ9*8</f>
        <v>0</v>
      </c>
      <c r="D9" s="39">
        <f>'📋 Plan Monat'!AK9*8</f>
        <v>0</v>
      </c>
      <c r="E9" s="39">
        <f ca="1">'📋 Plan Monat'!AL9*8</f>
        <v>0</v>
      </c>
      <c r="F9" s="101">
        <f ca="1">D9*'👥 Mitarbeiter'!I9*'⚙️ Einstellungen'!$B$40 + E9*'👥 Mitarbeiter'!I9*'⚙️ Einstellungen'!$B$42</f>
        <v>0</v>
      </c>
      <c r="G9" s="92">
        <f ca="1">((B9+C9+D9+E9)*'👥 Mitarbeiter'!I9+F9)*1.22</f>
        <v>0</v>
      </c>
    </row>
    <row r="10" spans="1:29" x14ac:dyDescent="0.25">
      <c r="A10" s="31" t="str">
        <f>'👥 Mitarbeiter'!B10&amp;" "&amp;'👥 Mitarbeiter'!C10</f>
        <v>David Test</v>
      </c>
      <c r="B10" s="39">
        <f>'📋 Plan Monat'!AI10*8</f>
        <v>0</v>
      </c>
      <c r="C10" s="39">
        <f>'📋 Plan Monat'!AJ10*8</f>
        <v>0</v>
      </c>
      <c r="D10" s="39">
        <f>'📋 Plan Monat'!AK10*8</f>
        <v>0</v>
      </c>
      <c r="E10" s="39">
        <f ca="1">'📋 Plan Monat'!AL10*8</f>
        <v>0</v>
      </c>
      <c r="F10" s="101">
        <f ca="1">D10*'👥 Mitarbeiter'!I10*'⚙️ Einstellungen'!$B$40 + E10*'👥 Mitarbeiter'!I10*'⚙️ Einstellungen'!$B$42</f>
        <v>0</v>
      </c>
      <c r="G10" s="92">
        <f ca="1">((B10+C10+D10+E10)*'👥 Mitarbeiter'!I10+F10)*1.22</f>
        <v>0</v>
      </c>
    </row>
    <row r="11" spans="1:29" x14ac:dyDescent="0.25">
      <c r="A11" s="31" t="str">
        <f>'👥 Mitarbeiter'!B11&amp;" "&amp;'👥 Mitarbeiter'!C11</f>
        <v>Eva Vorlage</v>
      </c>
      <c r="B11" s="39">
        <f>'📋 Plan Monat'!AI11*8</f>
        <v>0</v>
      </c>
      <c r="C11" s="39">
        <f>'📋 Plan Monat'!AJ11*8</f>
        <v>0</v>
      </c>
      <c r="D11" s="39">
        <f>'📋 Plan Monat'!AK11*8</f>
        <v>0</v>
      </c>
      <c r="E11" s="39">
        <f ca="1">'📋 Plan Monat'!AL11*8</f>
        <v>0</v>
      </c>
      <c r="F11" s="101">
        <f ca="1">D11*'👥 Mitarbeiter'!I11*'⚙️ Einstellungen'!$B$40 + E11*'👥 Mitarbeiter'!I11*'⚙️ Einstellungen'!$B$42</f>
        <v>0</v>
      </c>
      <c r="G11" s="92">
        <f ca="1">((B11+C11+D11+E11)*'👥 Mitarbeiter'!I11+F11)*1.22</f>
        <v>0</v>
      </c>
    </row>
    <row r="12" spans="1:29" x14ac:dyDescent="0.25">
      <c r="A12" s="31" t="str">
        <f>'👥 Mitarbeiter'!B12&amp;" "&amp;'👥 Mitarbeiter'!C12</f>
        <v>Frank Schicht</v>
      </c>
      <c r="B12" s="39">
        <f>'📋 Plan Monat'!AI12*8</f>
        <v>0</v>
      </c>
      <c r="C12" s="39">
        <f>'📋 Plan Monat'!AJ12*8</f>
        <v>0</v>
      </c>
      <c r="D12" s="39">
        <f>'📋 Plan Monat'!AK12*8</f>
        <v>0</v>
      </c>
      <c r="E12" s="39">
        <f ca="1">'📋 Plan Monat'!AL12*8</f>
        <v>0</v>
      </c>
      <c r="F12" s="101">
        <f ca="1">D12*'👥 Mitarbeiter'!I12*'⚙️ Einstellungen'!$B$40 + E12*'👥 Mitarbeiter'!I12*'⚙️ Einstellungen'!$B$42</f>
        <v>0</v>
      </c>
      <c r="G12" s="92">
        <f ca="1">((B12+C12+D12+E12)*'👥 Mitarbeiter'!I12+F12)*1.22</f>
        <v>0</v>
      </c>
    </row>
    <row r="13" spans="1:29" x14ac:dyDescent="0.25">
      <c r="A13" s="31" t="str">
        <f>'👥 Mitarbeiter'!B13&amp;" "&amp;'👥 Mitarbeiter'!C13</f>
        <v>Greta Plan</v>
      </c>
      <c r="B13" s="39">
        <f>'📋 Plan Monat'!AI13*8</f>
        <v>0</v>
      </c>
      <c r="C13" s="39">
        <f>'📋 Plan Monat'!AJ13*8</f>
        <v>0</v>
      </c>
      <c r="D13" s="39">
        <f>'📋 Plan Monat'!AK13*8</f>
        <v>0</v>
      </c>
      <c r="E13" s="39">
        <f ca="1">'📋 Plan Monat'!AL13*8</f>
        <v>0</v>
      </c>
      <c r="F13" s="101">
        <f ca="1">D13*'👥 Mitarbeiter'!I13*'⚙️ Einstellungen'!$B$40 + E13*'👥 Mitarbeiter'!I13*'⚙️ Einstellungen'!$B$42</f>
        <v>0</v>
      </c>
      <c r="G13" s="92">
        <f ca="1">((B13+C13+D13+E13)*'👥 Mitarbeiter'!I13+F13)*1.22</f>
        <v>0</v>
      </c>
    </row>
    <row r="14" spans="1:29" x14ac:dyDescent="0.25">
      <c r="A14" s="31" t="str">
        <f>'👥 Mitarbeiter'!B14&amp;" "&amp;'👥 Mitarbeiter'!C14</f>
        <v>Hans Beispiel</v>
      </c>
      <c r="B14" s="39">
        <f>'📋 Plan Monat'!AI14*8</f>
        <v>0</v>
      </c>
      <c r="C14" s="39">
        <f>'📋 Plan Monat'!AJ14*8</f>
        <v>0</v>
      </c>
      <c r="D14" s="39">
        <f>'📋 Plan Monat'!AK14*8</f>
        <v>0</v>
      </c>
      <c r="E14" s="39">
        <f ca="1">'📋 Plan Monat'!AL14*8</f>
        <v>0</v>
      </c>
      <c r="F14" s="101">
        <f ca="1">D14*'👥 Mitarbeiter'!I14*'⚙️ Einstellungen'!$B$40 + E14*'👥 Mitarbeiter'!I14*'⚙️ Einstellungen'!$B$42</f>
        <v>0</v>
      </c>
      <c r="G14" s="92">
        <f ca="1">((B14+C14+D14+E14)*'👥 Mitarbeiter'!I14+F14)*1.22</f>
        <v>0</v>
      </c>
    </row>
    <row r="15" spans="1:29" x14ac:dyDescent="0.25">
      <c r="A15" s="31" t="str">
        <f>'👥 Mitarbeiter'!B15&amp;" "&amp;'👥 Mitarbeiter'!C15</f>
        <v>Ina Muster</v>
      </c>
      <c r="B15" s="39">
        <f>'📋 Plan Monat'!AI15*8</f>
        <v>0</v>
      </c>
      <c r="C15" s="39">
        <f>'📋 Plan Monat'!AJ15*8</f>
        <v>0</v>
      </c>
      <c r="D15" s="39">
        <f>'📋 Plan Monat'!AK15*8</f>
        <v>0</v>
      </c>
      <c r="E15" s="39">
        <f ca="1">'📋 Plan Monat'!AL15*8</f>
        <v>0</v>
      </c>
      <c r="F15" s="101">
        <f ca="1">D15*'👥 Mitarbeiter'!I15*'⚙️ Einstellungen'!$B$40 + E15*'👥 Mitarbeiter'!I15*'⚙️ Einstellungen'!$B$42</f>
        <v>0</v>
      </c>
      <c r="G15" s="92">
        <f ca="1">((B15+C15+D15+E15)*'👥 Mitarbeiter'!I15+F15)*1.22</f>
        <v>0</v>
      </c>
    </row>
    <row r="16" spans="1:29" x14ac:dyDescent="0.25">
      <c r="A16" s="31" t="str">
        <f>'👥 Mitarbeiter'!B16&amp;" "&amp;'👥 Mitarbeiter'!C16</f>
        <v>Jan Demo</v>
      </c>
      <c r="B16" s="39">
        <f>'📋 Plan Monat'!AI16*8</f>
        <v>0</v>
      </c>
      <c r="C16" s="39">
        <f>'📋 Plan Monat'!AJ16*8</f>
        <v>0</v>
      </c>
      <c r="D16" s="39">
        <f>'📋 Plan Monat'!AK16*8</f>
        <v>0</v>
      </c>
      <c r="E16" s="39">
        <f ca="1">'📋 Plan Monat'!AL16*8</f>
        <v>0</v>
      </c>
      <c r="F16" s="101">
        <f ca="1">D16*'👥 Mitarbeiter'!I16*'⚙️ Einstellungen'!$B$40 + E16*'👥 Mitarbeiter'!I16*'⚙️ Einstellungen'!$B$42</f>
        <v>0</v>
      </c>
      <c r="G16" s="92">
        <f ca="1">((B16+C16+D16+E16)*'👥 Mitarbeiter'!I16+F16)*1.22</f>
        <v>0</v>
      </c>
    </row>
    <row r="17" spans="1:7" x14ac:dyDescent="0.25">
      <c r="A17" s="102" t="s">
        <v>468</v>
      </c>
      <c r="B17" s="100">
        <f t="shared" ref="B17:G17" si="0">SUM(B7:B16)</f>
        <v>0</v>
      </c>
      <c r="C17" s="100">
        <f t="shared" si="0"/>
        <v>0</v>
      </c>
      <c r="D17" s="100">
        <f t="shared" si="0"/>
        <v>0</v>
      </c>
      <c r="E17" s="100">
        <f t="shared" ca="1" si="0"/>
        <v>0</v>
      </c>
      <c r="F17" s="95">
        <f t="shared" ca="1" si="0"/>
        <v>0</v>
      </c>
      <c r="G17" s="95">
        <f t="shared" ca="1" si="0"/>
        <v>0</v>
      </c>
    </row>
    <row r="20" spans="1:7" ht="15" customHeight="1" x14ac:dyDescent="0.25">
      <c r="A20" s="112" t="s">
        <v>501</v>
      </c>
      <c r="B20" s="112"/>
      <c r="C20" s="112"/>
      <c r="D20" s="112"/>
      <c r="E20" s="112"/>
      <c r="F20" s="112"/>
      <c r="G20" s="112"/>
    </row>
    <row r="21" spans="1:7" ht="37.5" customHeight="1" x14ac:dyDescent="0.25">
      <c r="A21" s="113" t="s">
        <v>502</v>
      </c>
      <c r="B21" s="113"/>
      <c r="C21" s="113"/>
      <c r="D21" s="113"/>
      <c r="E21" s="113"/>
      <c r="F21" s="113"/>
      <c r="G21" s="113"/>
    </row>
    <row r="27" spans="1:7" x14ac:dyDescent="0.25">
      <c r="A27" s="33" t="s">
        <v>136</v>
      </c>
    </row>
    <row r="28" spans="1:7" x14ac:dyDescent="0.25">
      <c r="A28" s="34" t="s">
        <v>137</v>
      </c>
    </row>
  </sheetData>
  <mergeCells count="3">
    <mergeCell ref="A5:G5"/>
    <mergeCell ref="A20:G20"/>
    <mergeCell ref="A21:G21"/>
  </mergeCells>
  <pageMargins left="0.4" right="0.4" top="0.5" bottom="0.5"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zoomScaleNormal="100" workbookViewId="0">
      <pane ySplit="4" topLeftCell="A5" activePane="bottomLeft" state="frozen"/>
      <selection pane="bottomLeft"/>
    </sheetView>
  </sheetViews>
  <sheetFormatPr baseColWidth="10" defaultColWidth="8.7109375" defaultRowHeight="15" x14ac:dyDescent="0.25"/>
  <cols>
    <col min="1" max="1" width="32" customWidth="1"/>
    <col min="2" max="2" width="38" customWidth="1"/>
    <col min="3" max="5" width="18" customWidth="1"/>
    <col min="6" max="6" width="22" customWidth="1"/>
  </cols>
  <sheetData>
    <row r="1" spans="1:29" ht="37.5" customHeight="1" x14ac:dyDescent="0.25">
      <c r="A1" s="15" t="s">
        <v>0</v>
      </c>
      <c r="B1" s="16" t="s">
        <v>47</v>
      </c>
    </row>
    <row r="2" spans="1:29" ht="18" customHeight="1" x14ac:dyDescent="0.25">
      <c r="A2" s="17" t="s">
        <v>2</v>
      </c>
      <c r="B2" s="18" t="s">
        <v>48</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1.75" customHeight="1" x14ac:dyDescent="0.25">
      <c r="A5" s="21" t="s">
        <v>49</v>
      </c>
      <c r="B5" s="21"/>
      <c r="C5" s="21"/>
      <c r="D5" s="21"/>
      <c r="E5" s="21"/>
      <c r="F5" s="21"/>
    </row>
    <row r="6" spans="1:29" x14ac:dyDescent="0.25">
      <c r="A6" s="22" t="s">
        <v>50</v>
      </c>
      <c r="B6" s="23" t="s">
        <v>51</v>
      </c>
    </row>
    <row r="7" spans="1:29" x14ac:dyDescent="0.25">
      <c r="A7" s="22" t="s">
        <v>52</v>
      </c>
      <c r="B7" s="23" t="s">
        <v>53</v>
      </c>
    </row>
    <row r="8" spans="1:29" x14ac:dyDescent="0.25">
      <c r="A8" s="22" t="s">
        <v>54</v>
      </c>
      <c r="B8" s="23" t="s">
        <v>55</v>
      </c>
    </row>
    <row r="9" spans="1:29" x14ac:dyDescent="0.25">
      <c r="A9" s="22" t="s">
        <v>56</v>
      </c>
      <c r="B9" s="23" t="s">
        <v>57</v>
      </c>
    </row>
    <row r="10" spans="1:29" x14ac:dyDescent="0.25">
      <c r="A10" s="22" t="s">
        <v>58</v>
      </c>
      <c r="B10" s="23" t="s">
        <v>59</v>
      </c>
    </row>
    <row r="11" spans="1:29" x14ac:dyDescent="0.25">
      <c r="A11" s="22" t="s">
        <v>60</v>
      </c>
      <c r="B11" s="23">
        <v>40</v>
      </c>
    </row>
    <row r="12" spans="1:29" x14ac:dyDescent="0.25">
      <c r="A12" s="22" t="s">
        <v>61</v>
      </c>
      <c r="B12" s="23">
        <v>6</v>
      </c>
    </row>
    <row r="13" spans="1:29" x14ac:dyDescent="0.25">
      <c r="A13" s="22" t="s">
        <v>62</v>
      </c>
      <c r="B13" s="23">
        <v>9</v>
      </c>
    </row>
    <row r="14" spans="1:29" x14ac:dyDescent="0.25">
      <c r="A14" s="22" t="s">
        <v>63</v>
      </c>
      <c r="B14" s="23">
        <v>11</v>
      </c>
    </row>
    <row r="15" spans="1:29" x14ac:dyDescent="0.25">
      <c r="A15" s="22" t="s">
        <v>64</v>
      </c>
      <c r="B15" s="23">
        <v>10</v>
      </c>
    </row>
    <row r="16" spans="1:29" x14ac:dyDescent="0.25">
      <c r="A16" s="22" t="s">
        <v>65</v>
      </c>
      <c r="B16" s="23">
        <v>6</v>
      </c>
    </row>
    <row r="17" spans="1:6" x14ac:dyDescent="0.25">
      <c r="A17" s="22" t="s">
        <v>66</v>
      </c>
      <c r="B17" s="23">
        <v>14</v>
      </c>
    </row>
    <row r="19" spans="1:6" ht="21.75" customHeight="1" x14ac:dyDescent="0.25">
      <c r="A19" s="21" t="s">
        <v>67</v>
      </c>
      <c r="B19" s="21"/>
      <c r="C19" s="21"/>
      <c r="D19" s="21"/>
      <c r="E19" s="21"/>
      <c r="F19" s="21"/>
    </row>
    <row r="20" spans="1:6" x14ac:dyDescent="0.25">
      <c r="A20" s="24" t="s">
        <v>68</v>
      </c>
      <c r="B20" s="24" t="s">
        <v>69</v>
      </c>
      <c r="C20" s="24" t="s">
        <v>70</v>
      </c>
      <c r="D20" s="24" t="s">
        <v>71</v>
      </c>
      <c r="E20" s="24" t="s">
        <v>72</v>
      </c>
    </row>
    <row r="21" spans="1:6" ht="25.5" x14ac:dyDescent="0.25">
      <c r="A21" s="25" t="s">
        <v>73</v>
      </c>
      <c r="B21" s="25" t="s">
        <v>74</v>
      </c>
      <c r="C21" s="25" t="s">
        <v>75</v>
      </c>
      <c r="D21" s="25" t="s">
        <v>55</v>
      </c>
      <c r="E21" s="25" t="s">
        <v>76</v>
      </c>
    </row>
    <row r="22" spans="1:6" ht="25.5" x14ac:dyDescent="0.25">
      <c r="A22" s="25" t="s">
        <v>77</v>
      </c>
      <c r="B22" s="25" t="s">
        <v>78</v>
      </c>
      <c r="C22" s="25" t="s">
        <v>79</v>
      </c>
      <c r="D22" s="25" t="s">
        <v>55</v>
      </c>
      <c r="E22" s="25" t="s">
        <v>80</v>
      </c>
    </row>
    <row r="23" spans="1:6" ht="25.5" x14ac:dyDescent="0.25">
      <c r="A23" s="25" t="s">
        <v>81</v>
      </c>
      <c r="B23" s="25" t="s">
        <v>82</v>
      </c>
      <c r="C23" s="25" t="s">
        <v>83</v>
      </c>
      <c r="D23" s="25" t="s">
        <v>84</v>
      </c>
      <c r="E23" s="25" t="s">
        <v>85</v>
      </c>
    </row>
    <row r="24" spans="1:6" x14ac:dyDescent="0.25">
      <c r="A24" s="26"/>
      <c r="B24" s="26"/>
      <c r="C24" s="26"/>
      <c r="D24" s="26"/>
      <c r="E24" s="26"/>
    </row>
    <row r="25" spans="1:6" x14ac:dyDescent="0.25">
      <c r="A25" s="26"/>
      <c r="B25" s="26"/>
      <c r="C25" s="26"/>
      <c r="D25" s="26"/>
      <c r="E25" s="26"/>
    </row>
    <row r="26" spans="1:6" x14ac:dyDescent="0.25">
      <c r="A26" s="26"/>
      <c r="B26" s="26"/>
      <c r="C26" s="26"/>
      <c r="D26" s="26"/>
      <c r="E26" s="26"/>
    </row>
    <row r="27" spans="1:6" x14ac:dyDescent="0.25">
      <c r="A27" s="26"/>
      <c r="B27" s="26"/>
      <c r="C27" s="26"/>
      <c r="D27" s="26"/>
      <c r="E27" s="26"/>
    </row>
    <row r="28" spans="1:6" x14ac:dyDescent="0.25">
      <c r="A28" s="26"/>
      <c r="B28" s="26"/>
      <c r="C28" s="26"/>
      <c r="D28" s="26"/>
      <c r="E28" s="26"/>
    </row>
    <row r="29" spans="1:6" x14ac:dyDescent="0.25">
      <c r="A29" s="26"/>
      <c r="B29" s="26"/>
      <c r="C29" s="26"/>
      <c r="D29" s="26"/>
      <c r="E29" s="26"/>
    </row>
    <row r="30" spans="1:6" x14ac:dyDescent="0.25">
      <c r="A30" s="26"/>
      <c r="B30" s="26"/>
      <c r="C30" s="26"/>
      <c r="D30" s="26"/>
      <c r="E30" s="26"/>
    </row>
    <row r="31" spans="1:6" x14ac:dyDescent="0.25">
      <c r="A31" s="26"/>
      <c r="B31" s="26"/>
      <c r="C31" s="26"/>
      <c r="D31" s="26"/>
      <c r="E31" s="26"/>
    </row>
    <row r="32" spans="1:6" x14ac:dyDescent="0.25">
      <c r="A32" s="26"/>
      <c r="B32" s="26"/>
      <c r="C32" s="26"/>
      <c r="D32" s="26"/>
      <c r="E32" s="26"/>
    </row>
    <row r="33" spans="1:6" x14ac:dyDescent="0.25">
      <c r="A33" s="26"/>
      <c r="B33" s="26"/>
      <c r="C33" s="26"/>
      <c r="D33" s="26"/>
      <c r="E33" s="26"/>
    </row>
    <row r="34" spans="1:6" x14ac:dyDescent="0.25">
      <c r="A34" s="26"/>
      <c r="B34" s="26"/>
      <c r="C34" s="26"/>
      <c r="D34" s="26"/>
      <c r="E34" s="26"/>
    </row>
    <row r="35" spans="1:6" x14ac:dyDescent="0.25">
      <c r="A35" s="26"/>
      <c r="B35" s="26"/>
      <c r="C35" s="26"/>
      <c r="D35" s="26"/>
      <c r="E35" s="26"/>
    </row>
    <row r="38" spans="1:6" ht="21.75" customHeight="1" x14ac:dyDescent="0.25">
      <c r="A38" s="21" t="s">
        <v>86</v>
      </c>
      <c r="B38" s="21"/>
      <c r="C38" s="21"/>
      <c r="D38" s="21"/>
      <c r="E38" s="21"/>
      <c r="F38" s="21"/>
    </row>
    <row r="39" spans="1:6" x14ac:dyDescent="0.25">
      <c r="A39" s="24" t="s">
        <v>87</v>
      </c>
      <c r="B39" s="24" t="s">
        <v>88</v>
      </c>
    </row>
    <row r="40" spans="1:6" x14ac:dyDescent="0.25">
      <c r="A40" s="27" t="s">
        <v>89</v>
      </c>
      <c r="B40" s="28">
        <v>0.25</v>
      </c>
    </row>
    <row r="41" spans="1:6" x14ac:dyDescent="0.25">
      <c r="A41" s="27" t="s">
        <v>90</v>
      </c>
      <c r="B41" s="28">
        <v>0.4</v>
      </c>
    </row>
    <row r="42" spans="1:6" x14ac:dyDescent="0.25">
      <c r="A42" s="27" t="s">
        <v>91</v>
      </c>
      <c r="B42" s="28">
        <v>0.5</v>
      </c>
    </row>
    <row r="43" spans="1:6" x14ac:dyDescent="0.25">
      <c r="A43" s="27" t="s">
        <v>92</v>
      </c>
      <c r="B43" s="28">
        <v>1.25</v>
      </c>
    </row>
    <row r="44" spans="1:6" x14ac:dyDescent="0.25">
      <c r="A44" s="27" t="s">
        <v>93</v>
      </c>
      <c r="B44" s="28">
        <v>1.5</v>
      </c>
    </row>
    <row r="45" spans="1:6" x14ac:dyDescent="0.25">
      <c r="A45" s="27" t="s">
        <v>94</v>
      </c>
      <c r="B45" s="29">
        <v>155</v>
      </c>
    </row>
    <row r="46" spans="1:6" x14ac:dyDescent="0.25">
      <c r="A46" s="27" t="s">
        <v>95</v>
      </c>
      <c r="B46" s="29">
        <v>60</v>
      </c>
    </row>
    <row r="47" spans="1:6" x14ac:dyDescent="0.25">
      <c r="A47" s="27" t="s">
        <v>96</v>
      </c>
      <c r="B47" s="28">
        <v>0.22</v>
      </c>
    </row>
    <row r="50" spans="1:6" ht="21.75" customHeight="1" x14ac:dyDescent="0.25">
      <c r="A50" s="21" t="s">
        <v>97</v>
      </c>
      <c r="B50" s="21"/>
      <c r="C50" s="21"/>
      <c r="D50" s="21"/>
      <c r="E50" s="21"/>
      <c r="F50" s="21"/>
    </row>
    <row r="51" spans="1:6" x14ac:dyDescent="0.25">
      <c r="A51" s="24" t="s">
        <v>98</v>
      </c>
      <c r="B51" s="24" t="s">
        <v>69</v>
      </c>
      <c r="C51" s="24" t="s">
        <v>99</v>
      </c>
    </row>
    <row r="52" spans="1:6" x14ac:dyDescent="0.25">
      <c r="A52" s="30" t="s">
        <v>100</v>
      </c>
      <c r="B52" s="31" t="s">
        <v>101</v>
      </c>
      <c r="C52" s="32" t="s">
        <v>102</v>
      </c>
    </row>
    <row r="53" spans="1:6" x14ac:dyDescent="0.25">
      <c r="A53" s="30" t="s">
        <v>103</v>
      </c>
      <c r="B53" s="31" t="s">
        <v>104</v>
      </c>
      <c r="C53" s="32" t="s">
        <v>105</v>
      </c>
    </row>
    <row r="54" spans="1:6" x14ac:dyDescent="0.25">
      <c r="A54" s="30" t="s">
        <v>106</v>
      </c>
      <c r="B54" s="31" t="s">
        <v>107</v>
      </c>
      <c r="C54" s="32" t="s">
        <v>108</v>
      </c>
    </row>
    <row r="55" spans="1:6" x14ac:dyDescent="0.25">
      <c r="A55" s="30" t="s">
        <v>109</v>
      </c>
      <c r="B55" s="31" t="s">
        <v>110</v>
      </c>
      <c r="C55" s="32" t="s">
        <v>111</v>
      </c>
    </row>
    <row r="56" spans="1:6" x14ac:dyDescent="0.25">
      <c r="A56" s="30" t="s">
        <v>112</v>
      </c>
      <c r="B56" s="31" t="s">
        <v>113</v>
      </c>
      <c r="C56" s="32" t="s">
        <v>114</v>
      </c>
    </row>
    <row r="57" spans="1:6" x14ac:dyDescent="0.25">
      <c r="A57" s="30" t="s">
        <v>115</v>
      </c>
      <c r="B57" s="31" t="s">
        <v>116</v>
      </c>
      <c r="C57" s="32" t="s">
        <v>117</v>
      </c>
    </row>
    <row r="58" spans="1:6" x14ac:dyDescent="0.25">
      <c r="A58" s="30" t="s">
        <v>118</v>
      </c>
      <c r="B58" s="31" t="s">
        <v>119</v>
      </c>
      <c r="C58" s="32" t="s">
        <v>117</v>
      </c>
    </row>
    <row r="59" spans="1:6" x14ac:dyDescent="0.25">
      <c r="A59" s="30" t="s">
        <v>120</v>
      </c>
      <c r="B59" s="31" t="s">
        <v>121</v>
      </c>
      <c r="C59" s="32" t="s">
        <v>117</v>
      </c>
    </row>
    <row r="60" spans="1:6" x14ac:dyDescent="0.25">
      <c r="A60" s="30" t="s">
        <v>122</v>
      </c>
      <c r="B60" s="31" t="s">
        <v>123</v>
      </c>
      <c r="C60" s="32" t="s">
        <v>117</v>
      </c>
    </row>
    <row r="61" spans="1:6" x14ac:dyDescent="0.25">
      <c r="A61" s="30" t="s">
        <v>124</v>
      </c>
      <c r="B61" s="31" t="s">
        <v>125</v>
      </c>
      <c r="C61" s="32" t="s">
        <v>117</v>
      </c>
    </row>
    <row r="62" spans="1:6" x14ac:dyDescent="0.25">
      <c r="A62" s="30" t="s">
        <v>126</v>
      </c>
      <c r="B62" s="31" t="s">
        <v>127</v>
      </c>
      <c r="C62" s="32" t="s">
        <v>117</v>
      </c>
    </row>
    <row r="63" spans="1:6" x14ac:dyDescent="0.25">
      <c r="A63" s="30" t="s">
        <v>128</v>
      </c>
      <c r="B63" s="31" t="s">
        <v>129</v>
      </c>
      <c r="C63" s="32" t="s">
        <v>117</v>
      </c>
    </row>
    <row r="64" spans="1:6" x14ac:dyDescent="0.25">
      <c r="A64" s="30" t="s">
        <v>130</v>
      </c>
      <c r="B64" s="31" t="s">
        <v>131</v>
      </c>
      <c r="C64" s="32" t="s">
        <v>117</v>
      </c>
    </row>
    <row r="65" spans="1:3" x14ac:dyDescent="0.25">
      <c r="A65" s="30" t="s">
        <v>132</v>
      </c>
      <c r="B65" s="31" t="s">
        <v>133</v>
      </c>
      <c r="C65" s="32" t="s">
        <v>117</v>
      </c>
    </row>
    <row r="66" spans="1:3" x14ac:dyDescent="0.25">
      <c r="A66" s="30" t="s">
        <v>134</v>
      </c>
      <c r="B66" s="31" t="s">
        <v>135</v>
      </c>
      <c r="C66" s="32" t="s">
        <v>117</v>
      </c>
    </row>
    <row r="69" spans="1:3" x14ac:dyDescent="0.25">
      <c r="A69" s="33" t="s">
        <v>136</v>
      </c>
    </row>
    <row r="70" spans="1:3" x14ac:dyDescent="0.25">
      <c r="A70" s="34" t="s">
        <v>137</v>
      </c>
    </row>
  </sheetData>
  <dataValidations count="4">
    <dataValidation type="list" allowBlank="1" errorTitle="Eingabefehler" error="Ungültige Auswahl" sqref="B7">
      <formula1>"Master / branchenneutral,Pflege &amp; Gesundheit,Gastronomie &amp; Hotel,Produktion &amp; Industrie,Handel &amp; Logistik,Sonstiges"</formula1>
      <formula2>0</formula2>
    </dataValidation>
    <dataValidation type="list" allowBlank="1" errorTitle="Eingabefehler" error="Ungültige Auswahl" sqref="B8">
      <formula1>"BW,BY,BE,BB,HB,HH,HE,MV,NI,NW,RP,SL,SN,ST,SH,TH"</formula1>
      <formula2>0</formula2>
    </dataValidation>
    <dataValidation type="list" allowBlank="1" errorTitle="Eingabefehler" error="Ungültige Auswahl" sqref="B9">
      <formula1>"Januar,April,Juli,Oktober"</formula1>
      <formula2>0</formula2>
    </dataValidation>
    <dataValidation type="list" allowBlank="1" errorTitle="Eingabefehler" error="Ungültige Auswahl" sqref="B10">
      <formula1>"Kein Tarif / Haustarif,TVöD-P (Pflege Bund/Komm.),TVöD-K (Krankenhaus),TVöD-V (Verwaltung),AVR Caritas,AVR Diakonie,NGG MTV (Hotel/Gastro),BdS (Systemgastronomie),IG Metall West (35h),IG Metall Ost (38h),IG BCE (Chemie 37,5h),BAP/iGZ (Zeitarbeit)"</formula1>
      <formula2>0</formula2>
    </dataValidation>
  </dataValidations>
  <pageMargins left="0.4" right="0.4" top="0.5" bottom="0.5" header="0.511811023622047" footer="0.511811023622047"/>
  <pageSetup paperSize="9"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4" customWidth="1"/>
    <col min="2" max="2" width="22" customWidth="1"/>
    <col min="3" max="9" width="16" customWidth="1"/>
  </cols>
  <sheetData>
    <row r="1" spans="1:29" ht="37.5" customHeight="1" x14ac:dyDescent="0.25">
      <c r="A1" s="15" t="s">
        <v>0</v>
      </c>
      <c r="B1" s="16" t="s">
        <v>503</v>
      </c>
    </row>
    <row r="2" spans="1:29" ht="18" customHeight="1" x14ac:dyDescent="0.25">
      <c r="A2" s="17" t="s">
        <v>2</v>
      </c>
      <c r="B2" s="18" t="s">
        <v>504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505</v>
      </c>
      <c r="B4" s="59" t="s">
        <v>142</v>
      </c>
      <c r="D4" s="54" t="s">
        <v>315</v>
      </c>
      <c r="E4" s="67">
        <f ca="1">DATE(YEAR(TODAY()),MONTH(TODAY()),1)</f>
        <v>46143</v>
      </c>
    </row>
    <row r="6" spans="1:29" x14ac:dyDescent="0.25">
      <c r="A6" s="103" t="s">
        <v>202</v>
      </c>
      <c r="B6" s="103" t="s">
        <v>506</v>
      </c>
      <c r="C6" s="104">
        <f ca="1">E$4+0</f>
        <v>46143</v>
      </c>
      <c r="D6" s="104">
        <f ca="1">E$4+1</f>
        <v>46144</v>
      </c>
      <c r="E6" s="104">
        <f ca="1">E$4+2</f>
        <v>46145</v>
      </c>
      <c r="F6" s="104">
        <f ca="1">E$4+3</f>
        <v>46146</v>
      </c>
      <c r="G6" s="104">
        <f ca="1">E$4+4</f>
        <v>46147</v>
      </c>
      <c r="H6" s="104">
        <f ca="1">E$4+5</f>
        <v>46148</v>
      </c>
      <c r="I6" s="104">
        <f ca="1">E$4+6</f>
        <v>46149</v>
      </c>
    </row>
    <row r="7" spans="1:29" ht="21.75" customHeight="1" x14ac:dyDescent="0.25">
      <c r="A7" s="105" t="str">
        <f>'👥 Mitarbeiter'!A7</f>
        <v>MA001</v>
      </c>
      <c r="B7" s="106" t="str">
        <f>IF(B$4="MA-ID",A7,IF(B$4="Klarnamen",IF('👥 Mitarbeiter'!L7="Ja",'👥 Mitarbeiter'!B7&amp;" "&amp;'👥 Mitarbeiter'!C7,'👥 Mitarbeiter'!D7&amp;" (anonym)"),'👥 Mitarbeiter'!D7))</f>
        <v>AB</v>
      </c>
      <c r="C7" s="107">
        <f ca="1">IFERROR(INDEX('📋 Plan Monat'!$C$7:$AG$16,MATCH($A7,'📋 Plan Monat'!$A$7:$A$16,0),MATCH(C$6,'📋 Plan Monat'!$C$5:$AG$5,0)),"")</f>
        <v>0</v>
      </c>
      <c r="D7" s="107">
        <f ca="1">IFERROR(INDEX('📋 Plan Monat'!$C$7:$AG$16,MATCH($A7,'📋 Plan Monat'!$A$7:$A$16,0),MATCH(D$6,'📋 Plan Monat'!$C$5:$AG$5,0)),"")</f>
        <v>0</v>
      </c>
      <c r="E7" s="107">
        <f ca="1">IFERROR(INDEX('📋 Plan Monat'!$C$7:$AG$16,MATCH($A7,'📋 Plan Monat'!$A$7:$A$16,0),MATCH(E$6,'📋 Plan Monat'!$C$5:$AG$5,0)),"")</f>
        <v>0</v>
      </c>
      <c r="F7" s="107">
        <f ca="1">IFERROR(INDEX('📋 Plan Monat'!$C$7:$AG$16,MATCH($A7,'📋 Plan Monat'!$A$7:$A$16,0),MATCH(F$6,'📋 Plan Monat'!$C$5:$AG$5,0)),"")</f>
        <v>0</v>
      </c>
      <c r="G7" s="107">
        <f ca="1">IFERROR(INDEX('📋 Plan Monat'!$C$7:$AG$16,MATCH($A7,'📋 Plan Monat'!$A$7:$A$16,0),MATCH(G$6,'📋 Plan Monat'!$C$5:$AG$5,0)),"")</f>
        <v>0</v>
      </c>
      <c r="H7" s="107">
        <f ca="1">IFERROR(INDEX('📋 Plan Monat'!$C$7:$AG$16,MATCH($A7,'📋 Plan Monat'!$A$7:$A$16,0),MATCH(H$6,'📋 Plan Monat'!$C$5:$AG$5,0)),"")</f>
        <v>0</v>
      </c>
      <c r="I7" s="107">
        <f ca="1">IFERROR(INDEX('📋 Plan Monat'!$C$7:$AG$16,MATCH($A7,'📋 Plan Monat'!$A$7:$A$16,0),MATCH(I$6,'📋 Plan Monat'!$C$5:$AG$5,0)),"")</f>
        <v>0</v>
      </c>
    </row>
    <row r="8" spans="1:29" ht="21.75" customHeight="1" x14ac:dyDescent="0.25">
      <c r="A8" s="105" t="str">
        <f>'👥 Mitarbeiter'!A8</f>
        <v>MA002</v>
      </c>
      <c r="B8" s="106" t="str">
        <f>IF(B$4="MA-ID",A8,IF(B$4="Klarnamen",IF('👥 Mitarbeiter'!L8="Ja",'👥 Mitarbeiter'!B8&amp;" "&amp;'👥 Mitarbeiter'!C8,'👥 Mitarbeiter'!D8&amp;" (anonym)"),'👥 Mitarbeiter'!D8))</f>
        <v>BM</v>
      </c>
      <c r="C8" s="107">
        <f ca="1">IFERROR(INDEX('📋 Plan Monat'!$C$7:$AG$16,MATCH($A8,'📋 Plan Monat'!$A$7:$A$16,0),MATCH(C$6,'📋 Plan Monat'!$C$5:$AG$5,0)),"")</f>
        <v>0</v>
      </c>
      <c r="D8" s="107">
        <f ca="1">IFERROR(INDEX('📋 Plan Monat'!$C$7:$AG$16,MATCH($A8,'📋 Plan Monat'!$A$7:$A$16,0),MATCH(D$6,'📋 Plan Monat'!$C$5:$AG$5,0)),"")</f>
        <v>0</v>
      </c>
      <c r="E8" s="107">
        <f ca="1">IFERROR(INDEX('📋 Plan Monat'!$C$7:$AG$16,MATCH($A8,'📋 Plan Monat'!$A$7:$A$16,0),MATCH(E$6,'📋 Plan Monat'!$C$5:$AG$5,0)),"")</f>
        <v>0</v>
      </c>
      <c r="F8" s="107">
        <f ca="1">IFERROR(INDEX('📋 Plan Monat'!$C$7:$AG$16,MATCH($A8,'📋 Plan Monat'!$A$7:$A$16,0),MATCH(F$6,'📋 Plan Monat'!$C$5:$AG$5,0)),"")</f>
        <v>0</v>
      </c>
      <c r="G8" s="107">
        <f ca="1">IFERROR(INDEX('📋 Plan Monat'!$C$7:$AG$16,MATCH($A8,'📋 Plan Monat'!$A$7:$A$16,0),MATCH(G$6,'📋 Plan Monat'!$C$5:$AG$5,0)),"")</f>
        <v>0</v>
      </c>
      <c r="H8" s="107">
        <f ca="1">IFERROR(INDEX('📋 Plan Monat'!$C$7:$AG$16,MATCH($A8,'📋 Plan Monat'!$A$7:$A$16,0),MATCH(H$6,'📋 Plan Monat'!$C$5:$AG$5,0)),"")</f>
        <v>0</v>
      </c>
      <c r="I8" s="107">
        <f ca="1">IFERROR(INDEX('📋 Plan Monat'!$C$7:$AG$16,MATCH($A8,'📋 Plan Monat'!$A$7:$A$16,0),MATCH(I$6,'📋 Plan Monat'!$C$5:$AG$5,0)),"")</f>
        <v>0</v>
      </c>
    </row>
    <row r="9" spans="1:29" ht="21.75" customHeight="1" x14ac:dyDescent="0.25">
      <c r="A9" s="105" t="str">
        <f>'👥 Mitarbeiter'!A9</f>
        <v>MA003</v>
      </c>
      <c r="B9" s="106" t="str">
        <f>IF(B$4="MA-ID",A9,IF(B$4="Klarnamen",IF('👥 Mitarbeiter'!L9="Ja",'👥 Mitarbeiter'!B9&amp;" "&amp;'👥 Mitarbeiter'!C9,'👥 Mitarbeiter'!D9&amp;" (anonym)"),'👥 Mitarbeiter'!D9))</f>
        <v>CD</v>
      </c>
      <c r="C9" s="107">
        <f ca="1">IFERROR(INDEX('📋 Plan Monat'!$C$7:$AG$16,MATCH($A9,'📋 Plan Monat'!$A$7:$A$16,0),MATCH(C$6,'📋 Plan Monat'!$C$5:$AG$5,0)),"")</f>
        <v>0</v>
      </c>
      <c r="D9" s="107">
        <f ca="1">IFERROR(INDEX('📋 Plan Monat'!$C$7:$AG$16,MATCH($A9,'📋 Plan Monat'!$A$7:$A$16,0),MATCH(D$6,'📋 Plan Monat'!$C$5:$AG$5,0)),"")</f>
        <v>0</v>
      </c>
      <c r="E9" s="107">
        <f ca="1">IFERROR(INDEX('📋 Plan Monat'!$C$7:$AG$16,MATCH($A9,'📋 Plan Monat'!$A$7:$A$16,0),MATCH(E$6,'📋 Plan Monat'!$C$5:$AG$5,0)),"")</f>
        <v>0</v>
      </c>
      <c r="F9" s="107">
        <f ca="1">IFERROR(INDEX('📋 Plan Monat'!$C$7:$AG$16,MATCH($A9,'📋 Plan Monat'!$A$7:$A$16,0),MATCH(F$6,'📋 Plan Monat'!$C$5:$AG$5,0)),"")</f>
        <v>0</v>
      </c>
      <c r="G9" s="107">
        <f ca="1">IFERROR(INDEX('📋 Plan Monat'!$C$7:$AG$16,MATCH($A9,'📋 Plan Monat'!$A$7:$A$16,0),MATCH(G$6,'📋 Plan Monat'!$C$5:$AG$5,0)),"")</f>
        <v>0</v>
      </c>
      <c r="H9" s="107">
        <f ca="1">IFERROR(INDEX('📋 Plan Monat'!$C$7:$AG$16,MATCH($A9,'📋 Plan Monat'!$A$7:$A$16,0),MATCH(H$6,'📋 Plan Monat'!$C$5:$AG$5,0)),"")</f>
        <v>0</v>
      </c>
      <c r="I9" s="107">
        <f ca="1">IFERROR(INDEX('📋 Plan Monat'!$C$7:$AG$16,MATCH($A9,'📋 Plan Monat'!$A$7:$A$16,0),MATCH(I$6,'📋 Plan Monat'!$C$5:$AG$5,0)),"")</f>
        <v>0</v>
      </c>
    </row>
    <row r="10" spans="1:29" ht="21.75" customHeight="1" x14ac:dyDescent="0.25">
      <c r="A10" s="105" t="str">
        <f>'👥 Mitarbeiter'!A10</f>
        <v>MA004</v>
      </c>
      <c r="B10" s="106" t="str">
        <f>IF(B$4="MA-ID",A10,IF(B$4="Klarnamen",IF('👥 Mitarbeiter'!L10="Ja",'👥 Mitarbeiter'!B10&amp;" "&amp;'👥 Mitarbeiter'!C10,'👥 Mitarbeiter'!D10&amp;" (anonym)"),'👥 Mitarbeiter'!D10))</f>
        <v>DT</v>
      </c>
      <c r="C10" s="107">
        <f ca="1">IFERROR(INDEX('📋 Plan Monat'!$C$7:$AG$16,MATCH($A10,'📋 Plan Monat'!$A$7:$A$16,0),MATCH(C$6,'📋 Plan Monat'!$C$5:$AG$5,0)),"")</f>
        <v>0</v>
      </c>
      <c r="D10" s="107">
        <f ca="1">IFERROR(INDEX('📋 Plan Monat'!$C$7:$AG$16,MATCH($A10,'📋 Plan Monat'!$A$7:$A$16,0),MATCH(D$6,'📋 Plan Monat'!$C$5:$AG$5,0)),"")</f>
        <v>0</v>
      </c>
      <c r="E10" s="107">
        <f ca="1">IFERROR(INDEX('📋 Plan Monat'!$C$7:$AG$16,MATCH($A10,'📋 Plan Monat'!$A$7:$A$16,0),MATCH(E$6,'📋 Plan Monat'!$C$5:$AG$5,0)),"")</f>
        <v>0</v>
      </c>
      <c r="F10" s="107">
        <f ca="1">IFERROR(INDEX('📋 Plan Monat'!$C$7:$AG$16,MATCH($A10,'📋 Plan Monat'!$A$7:$A$16,0),MATCH(F$6,'📋 Plan Monat'!$C$5:$AG$5,0)),"")</f>
        <v>0</v>
      </c>
      <c r="G10" s="107">
        <f ca="1">IFERROR(INDEX('📋 Plan Monat'!$C$7:$AG$16,MATCH($A10,'📋 Plan Monat'!$A$7:$A$16,0),MATCH(G$6,'📋 Plan Monat'!$C$5:$AG$5,0)),"")</f>
        <v>0</v>
      </c>
      <c r="H10" s="107">
        <f ca="1">IFERROR(INDEX('📋 Plan Monat'!$C$7:$AG$16,MATCH($A10,'📋 Plan Monat'!$A$7:$A$16,0),MATCH(H$6,'📋 Plan Monat'!$C$5:$AG$5,0)),"")</f>
        <v>0</v>
      </c>
      <c r="I10" s="107">
        <f ca="1">IFERROR(INDEX('📋 Plan Monat'!$C$7:$AG$16,MATCH($A10,'📋 Plan Monat'!$A$7:$A$16,0),MATCH(I$6,'📋 Plan Monat'!$C$5:$AG$5,0)),"")</f>
        <v>0</v>
      </c>
    </row>
    <row r="11" spans="1:29" ht="21.75" customHeight="1" x14ac:dyDescent="0.25">
      <c r="A11" s="105" t="str">
        <f>'👥 Mitarbeiter'!A11</f>
        <v>MA005</v>
      </c>
      <c r="B11" s="106" t="str">
        <f>IF(B$4="MA-ID",A11,IF(B$4="Klarnamen",IF('👥 Mitarbeiter'!L11="Ja",'👥 Mitarbeiter'!B11&amp;" "&amp;'👥 Mitarbeiter'!C11,'👥 Mitarbeiter'!D11&amp;" (anonym)"),'👥 Mitarbeiter'!D11))</f>
        <v>EV</v>
      </c>
      <c r="C11" s="107">
        <f ca="1">IFERROR(INDEX('📋 Plan Monat'!$C$7:$AG$16,MATCH($A11,'📋 Plan Monat'!$A$7:$A$16,0),MATCH(C$6,'📋 Plan Monat'!$C$5:$AG$5,0)),"")</f>
        <v>0</v>
      </c>
      <c r="D11" s="107">
        <f ca="1">IFERROR(INDEX('📋 Plan Monat'!$C$7:$AG$16,MATCH($A11,'📋 Plan Monat'!$A$7:$A$16,0),MATCH(D$6,'📋 Plan Monat'!$C$5:$AG$5,0)),"")</f>
        <v>0</v>
      </c>
      <c r="E11" s="107">
        <f ca="1">IFERROR(INDEX('📋 Plan Monat'!$C$7:$AG$16,MATCH($A11,'📋 Plan Monat'!$A$7:$A$16,0),MATCH(E$6,'📋 Plan Monat'!$C$5:$AG$5,0)),"")</f>
        <v>0</v>
      </c>
      <c r="F11" s="107">
        <f ca="1">IFERROR(INDEX('📋 Plan Monat'!$C$7:$AG$16,MATCH($A11,'📋 Plan Monat'!$A$7:$A$16,0),MATCH(F$6,'📋 Plan Monat'!$C$5:$AG$5,0)),"")</f>
        <v>0</v>
      </c>
      <c r="G11" s="107">
        <f ca="1">IFERROR(INDEX('📋 Plan Monat'!$C$7:$AG$16,MATCH($A11,'📋 Plan Monat'!$A$7:$A$16,0),MATCH(G$6,'📋 Plan Monat'!$C$5:$AG$5,0)),"")</f>
        <v>0</v>
      </c>
      <c r="H11" s="107">
        <f ca="1">IFERROR(INDEX('📋 Plan Monat'!$C$7:$AG$16,MATCH($A11,'📋 Plan Monat'!$A$7:$A$16,0),MATCH(H$6,'📋 Plan Monat'!$C$5:$AG$5,0)),"")</f>
        <v>0</v>
      </c>
      <c r="I11" s="107">
        <f ca="1">IFERROR(INDEX('📋 Plan Monat'!$C$7:$AG$16,MATCH($A11,'📋 Plan Monat'!$A$7:$A$16,0),MATCH(I$6,'📋 Plan Monat'!$C$5:$AG$5,0)),"")</f>
        <v>0</v>
      </c>
    </row>
    <row r="12" spans="1:29" ht="21.75" customHeight="1" x14ac:dyDescent="0.25">
      <c r="A12" s="105" t="str">
        <f>'👥 Mitarbeiter'!A12</f>
        <v>MA006</v>
      </c>
      <c r="B12" s="106" t="str">
        <f>IF(B$4="MA-ID",A12,IF(B$4="Klarnamen",IF('👥 Mitarbeiter'!L12="Ja",'👥 Mitarbeiter'!B12&amp;" "&amp;'👥 Mitarbeiter'!C12,'👥 Mitarbeiter'!D12&amp;" (anonym)"),'👥 Mitarbeiter'!D12))</f>
        <v>FS</v>
      </c>
      <c r="C12" s="107">
        <f ca="1">IFERROR(INDEX('📋 Plan Monat'!$C$7:$AG$16,MATCH($A12,'📋 Plan Monat'!$A$7:$A$16,0),MATCH(C$6,'📋 Plan Monat'!$C$5:$AG$5,0)),"")</f>
        <v>0</v>
      </c>
      <c r="D12" s="107">
        <f ca="1">IFERROR(INDEX('📋 Plan Monat'!$C$7:$AG$16,MATCH($A12,'📋 Plan Monat'!$A$7:$A$16,0),MATCH(D$6,'📋 Plan Monat'!$C$5:$AG$5,0)),"")</f>
        <v>0</v>
      </c>
      <c r="E12" s="107">
        <f ca="1">IFERROR(INDEX('📋 Plan Monat'!$C$7:$AG$16,MATCH($A12,'📋 Plan Monat'!$A$7:$A$16,0),MATCH(E$6,'📋 Plan Monat'!$C$5:$AG$5,0)),"")</f>
        <v>0</v>
      </c>
      <c r="F12" s="107">
        <f ca="1">IFERROR(INDEX('📋 Plan Monat'!$C$7:$AG$16,MATCH($A12,'📋 Plan Monat'!$A$7:$A$16,0),MATCH(F$6,'📋 Plan Monat'!$C$5:$AG$5,0)),"")</f>
        <v>0</v>
      </c>
      <c r="G12" s="107">
        <f ca="1">IFERROR(INDEX('📋 Plan Monat'!$C$7:$AG$16,MATCH($A12,'📋 Plan Monat'!$A$7:$A$16,0),MATCH(G$6,'📋 Plan Monat'!$C$5:$AG$5,0)),"")</f>
        <v>0</v>
      </c>
      <c r="H12" s="107">
        <f ca="1">IFERROR(INDEX('📋 Plan Monat'!$C$7:$AG$16,MATCH($A12,'📋 Plan Monat'!$A$7:$A$16,0),MATCH(H$6,'📋 Plan Monat'!$C$5:$AG$5,0)),"")</f>
        <v>0</v>
      </c>
      <c r="I12" s="107">
        <f ca="1">IFERROR(INDEX('📋 Plan Monat'!$C$7:$AG$16,MATCH($A12,'📋 Plan Monat'!$A$7:$A$16,0),MATCH(I$6,'📋 Plan Monat'!$C$5:$AG$5,0)),"")</f>
        <v>0</v>
      </c>
    </row>
    <row r="13" spans="1:29" ht="21.75" customHeight="1" x14ac:dyDescent="0.25">
      <c r="A13" s="105" t="str">
        <f>'👥 Mitarbeiter'!A13</f>
        <v>MA007</v>
      </c>
      <c r="B13" s="106" t="str">
        <f>IF(B$4="MA-ID",A13,IF(B$4="Klarnamen",IF('👥 Mitarbeiter'!L13="Ja",'👥 Mitarbeiter'!B13&amp;" "&amp;'👥 Mitarbeiter'!C13,'👥 Mitarbeiter'!D13&amp;" (anonym)"),'👥 Mitarbeiter'!D13))</f>
        <v>GP</v>
      </c>
      <c r="C13" s="107">
        <f ca="1">IFERROR(INDEX('📋 Plan Monat'!$C$7:$AG$16,MATCH($A13,'📋 Plan Monat'!$A$7:$A$16,0),MATCH(C$6,'📋 Plan Monat'!$C$5:$AG$5,0)),"")</f>
        <v>0</v>
      </c>
      <c r="D13" s="107">
        <f ca="1">IFERROR(INDEX('📋 Plan Monat'!$C$7:$AG$16,MATCH($A13,'📋 Plan Monat'!$A$7:$A$16,0),MATCH(D$6,'📋 Plan Monat'!$C$5:$AG$5,0)),"")</f>
        <v>0</v>
      </c>
      <c r="E13" s="107">
        <f ca="1">IFERROR(INDEX('📋 Plan Monat'!$C$7:$AG$16,MATCH($A13,'📋 Plan Monat'!$A$7:$A$16,0),MATCH(E$6,'📋 Plan Monat'!$C$5:$AG$5,0)),"")</f>
        <v>0</v>
      </c>
      <c r="F13" s="107">
        <f ca="1">IFERROR(INDEX('📋 Plan Monat'!$C$7:$AG$16,MATCH($A13,'📋 Plan Monat'!$A$7:$A$16,0),MATCH(F$6,'📋 Plan Monat'!$C$5:$AG$5,0)),"")</f>
        <v>0</v>
      </c>
      <c r="G13" s="107">
        <f ca="1">IFERROR(INDEX('📋 Plan Monat'!$C$7:$AG$16,MATCH($A13,'📋 Plan Monat'!$A$7:$A$16,0),MATCH(G$6,'📋 Plan Monat'!$C$5:$AG$5,0)),"")</f>
        <v>0</v>
      </c>
      <c r="H13" s="107">
        <f ca="1">IFERROR(INDEX('📋 Plan Monat'!$C$7:$AG$16,MATCH($A13,'📋 Plan Monat'!$A$7:$A$16,0),MATCH(H$6,'📋 Plan Monat'!$C$5:$AG$5,0)),"")</f>
        <v>0</v>
      </c>
      <c r="I13" s="107">
        <f ca="1">IFERROR(INDEX('📋 Plan Monat'!$C$7:$AG$16,MATCH($A13,'📋 Plan Monat'!$A$7:$A$16,0),MATCH(I$6,'📋 Plan Monat'!$C$5:$AG$5,0)),"")</f>
        <v>0</v>
      </c>
    </row>
    <row r="14" spans="1:29" ht="21.75" customHeight="1" x14ac:dyDescent="0.25">
      <c r="A14" s="105" t="str">
        <f>'👥 Mitarbeiter'!A14</f>
        <v>MA008</v>
      </c>
      <c r="B14" s="106" t="str">
        <f>IF(B$4="MA-ID",A14,IF(B$4="Klarnamen",IF('👥 Mitarbeiter'!L14="Ja",'👥 Mitarbeiter'!B14&amp;" "&amp;'👥 Mitarbeiter'!C14,'👥 Mitarbeiter'!D14&amp;" (anonym)"),'👥 Mitarbeiter'!D14))</f>
        <v>HB</v>
      </c>
      <c r="C14" s="107">
        <f ca="1">IFERROR(INDEX('📋 Plan Monat'!$C$7:$AG$16,MATCH($A14,'📋 Plan Monat'!$A$7:$A$16,0),MATCH(C$6,'📋 Plan Monat'!$C$5:$AG$5,0)),"")</f>
        <v>0</v>
      </c>
      <c r="D14" s="107">
        <f ca="1">IFERROR(INDEX('📋 Plan Monat'!$C$7:$AG$16,MATCH($A14,'📋 Plan Monat'!$A$7:$A$16,0),MATCH(D$6,'📋 Plan Monat'!$C$5:$AG$5,0)),"")</f>
        <v>0</v>
      </c>
      <c r="E14" s="107">
        <f ca="1">IFERROR(INDEX('📋 Plan Monat'!$C$7:$AG$16,MATCH($A14,'📋 Plan Monat'!$A$7:$A$16,0),MATCH(E$6,'📋 Plan Monat'!$C$5:$AG$5,0)),"")</f>
        <v>0</v>
      </c>
      <c r="F14" s="107">
        <f ca="1">IFERROR(INDEX('📋 Plan Monat'!$C$7:$AG$16,MATCH($A14,'📋 Plan Monat'!$A$7:$A$16,0),MATCH(F$6,'📋 Plan Monat'!$C$5:$AG$5,0)),"")</f>
        <v>0</v>
      </c>
      <c r="G14" s="107">
        <f ca="1">IFERROR(INDEX('📋 Plan Monat'!$C$7:$AG$16,MATCH($A14,'📋 Plan Monat'!$A$7:$A$16,0),MATCH(G$6,'📋 Plan Monat'!$C$5:$AG$5,0)),"")</f>
        <v>0</v>
      </c>
      <c r="H14" s="107">
        <f ca="1">IFERROR(INDEX('📋 Plan Monat'!$C$7:$AG$16,MATCH($A14,'📋 Plan Monat'!$A$7:$A$16,0),MATCH(H$6,'📋 Plan Monat'!$C$5:$AG$5,0)),"")</f>
        <v>0</v>
      </c>
      <c r="I14" s="107">
        <f ca="1">IFERROR(INDEX('📋 Plan Monat'!$C$7:$AG$16,MATCH($A14,'📋 Plan Monat'!$A$7:$A$16,0),MATCH(I$6,'📋 Plan Monat'!$C$5:$AG$5,0)),"")</f>
        <v>0</v>
      </c>
    </row>
    <row r="15" spans="1:29" ht="21.75" customHeight="1" x14ac:dyDescent="0.25">
      <c r="A15" s="105" t="str">
        <f>'👥 Mitarbeiter'!A15</f>
        <v>MA009</v>
      </c>
      <c r="B15" s="106" t="str">
        <f>IF(B$4="MA-ID",A15,IF(B$4="Klarnamen",IF('👥 Mitarbeiter'!L15="Ja",'👥 Mitarbeiter'!B15&amp;" "&amp;'👥 Mitarbeiter'!C15,'👥 Mitarbeiter'!D15&amp;" (anonym)"),'👥 Mitarbeiter'!D15))</f>
        <v>IM</v>
      </c>
      <c r="C15" s="107">
        <f ca="1">IFERROR(INDEX('📋 Plan Monat'!$C$7:$AG$16,MATCH($A15,'📋 Plan Monat'!$A$7:$A$16,0),MATCH(C$6,'📋 Plan Monat'!$C$5:$AG$5,0)),"")</f>
        <v>0</v>
      </c>
      <c r="D15" s="107">
        <f ca="1">IFERROR(INDEX('📋 Plan Monat'!$C$7:$AG$16,MATCH($A15,'📋 Plan Monat'!$A$7:$A$16,0),MATCH(D$6,'📋 Plan Monat'!$C$5:$AG$5,0)),"")</f>
        <v>0</v>
      </c>
      <c r="E15" s="107">
        <f ca="1">IFERROR(INDEX('📋 Plan Monat'!$C$7:$AG$16,MATCH($A15,'📋 Plan Monat'!$A$7:$A$16,0),MATCH(E$6,'📋 Plan Monat'!$C$5:$AG$5,0)),"")</f>
        <v>0</v>
      </c>
      <c r="F15" s="107">
        <f ca="1">IFERROR(INDEX('📋 Plan Monat'!$C$7:$AG$16,MATCH($A15,'📋 Plan Monat'!$A$7:$A$16,0),MATCH(F$6,'📋 Plan Monat'!$C$5:$AG$5,0)),"")</f>
        <v>0</v>
      </c>
      <c r="G15" s="107">
        <f ca="1">IFERROR(INDEX('📋 Plan Monat'!$C$7:$AG$16,MATCH($A15,'📋 Plan Monat'!$A$7:$A$16,0),MATCH(G$6,'📋 Plan Monat'!$C$5:$AG$5,0)),"")</f>
        <v>0</v>
      </c>
      <c r="H15" s="107">
        <f ca="1">IFERROR(INDEX('📋 Plan Monat'!$C$7:$AG$16,MATCH($A15,'📋 Plan Monat'!$A$7:$A$16,0),MATCH(H$6,'📋 Plan Monat'!$C$5:$AG$5,0)),"")</f>
        <v>0</v>
      </c>
      <c r="I15" s="107">
        <f ca="1">IFERROR(INDEX('📋 Plan Monat'!$C$7:$AG$16,MATCH($A15,'📋 Plan Monat'!$A$7:$A$16,0),MATCH(I$6,'📋 Plan Monat'!$C$5:$AG$5,0)),"")</f>
        <v>0</v>
      </c>
    </row>
    <row r="16" spans="1:29" ht="21.75" customHeight="1" x14ac:dyDescent="0.25">
      <c r="A16" s="105" t="str">
        <f>'👥 Mitarbeiter'!A16</f>
        <v>MA010</v>
      </c>
      <c r="B16" s="106" t="str">
        <f>IF(B$4="MA-ID",A16,IF(B$4="Klarnamen",IF('👥 Mitarbeiter'!L16="Ja",'👥 Mitarbeiter'!B16&amp;" "&amp;'👥 Mitarbeiter'!C16,'👥 Mitarbeiter'!D16&amp;" (anonym)"),'👥 Mitarbeiter'!D16))</f>
        <v>JD</v>
      </c>
      <c r="C16" s="107">
        <f ca="1">IFERROR(INDEX('📋 Plan Monat'!$C$7:$AG$16,MATCH($A16,'📋 Plan Monat'!$A$7:$A$16,0),MATCH(C$6,'📋 Plan Monat'!$C$5:$AG$5,0)),"")</f>
        <v>0</v>
      </c>
      <c r="D16" s="107">
        <f ca="1">IFERROR(INDEX('📋 Plan Monat'!$C$7:$AG$16,MATCH($A16,'📋 Plan Monat'!$A$7:$A$16,0),MATCH(D$6,'📋 Plan Monat'!$C$5:$AG$5,0)),"")</f>
        <v>0</v>
      </c>
      <c r="E16" s="107">
        <f ca="1">IFERROR(INDEX('📋 Plan Monat'!$C$7:$AG$16,MATCH($A16,'📋 Plan Monat'!$A$7:$A$16,0),MATCH(E$6,'📋 Plan Monat'!$C$5:$AG$5,0)),"")</f>
        <v>0</v>
      </c>
      <c r="F16" s="107">
        <f ca="1">IFERROR(INDEX('📋 Plan Monat'!$C$7:$AG$16,MATCH($A16,'📋 Plan Monat'!$A$7:$A$16,0),MATCH(F$6,'📋 Plan Monat'!$C$5:$AG$5,0)),"")</f>
        <v>0</v>
      </c>
      <c r="G16" s="107">
        <f ca="1">IFERROR(INDEX('📋 Plan Monat'!$C$7:$AG$16,MATCH($A16,'📋 Plan Monat'!$A$7:$A$16,0),MATCH(G$6,'📋 Plan Monat'!$C$5:$AG$5,0)),"")</f>
        <v>0</v>
      </c>
      <c r="H16" s="107">
        <f ca="1">IFERROR(INDEX('📋 Plan Monat'!$C$7:$AG$16,MATCH($A16,'📋 Plan Monat'!$A$7:$A$16,0),MATCH(H$6,'📋 Plan Monat'!$C$5:$AG$5,0)),"")</f>
        <v>0</v>
      </c>
      <c r="I16" s="107">
        <f ca="1">IFERROR(INDEX('📋 Plan Monat'!$C$7:$AG$16,MATCH($A16,'📋 Plan Monat'!$A$7:$A$16,0),MATCH(I$6,'📋 Plan Monat'!$C$5:$AG$5,0)),"")</f>
        <v>0</v>
      </c>
    </row>
    <row r="19" spans="1:9" ht="15" customHeight="1" x14ac:dyDescent="0.25">
      <c r="A19" s="2" t="s">
        <v>507</v>
      </c>
      <c r="B19" s="2"/>
      <c r="C19" s="2"/>
      <c r="D19" s="2"/>
      <c r="E19" s="2"/>
      <c r="F19" s="2"/>
      <c r="G19" s="2"/>
      <c r="H19" s="2"/>
      <c r="I19" s="2"/>
    </row>
    <row r="20" spans="1:9" ht="37.5" customHeight="1" x14ac:dyDescent="0.25">
      <c r="A20" s="1" t="s">
        <v>508</v>
      </c>
      <c r="B20" s="1"/>
      <c r="C20" s="1"/>
      <c r="D20" s="1"/>
      <c r="E20" s="1"/>
      <c r="F20" s="1"/>
      <c r="G20" s="1"/>
      <c r="H20" s="1"/>
      <c r="I20" s="1"/>
    </row>
    <row r="23" spans="1:9" ht="15" customHeight="1" x14ac:dyDescent="0.25">
      <c r="A23" s="112" t="s">
        <v>509</v>
      </c>
      <c r="B23" s="112"/>
      <c r="C23" s="112"/>
      <c r="D23" s="112"/>
      <c r="E23" s="112"/>
      <c r="F23" s="112"/>
      <c r="G23" s="112"/>
      <c r="H23" s="112"/>
      <c r="I23" s="112"/>
    </row>
    <row r="24" spans="1:9" ht="37.5" customHeight="1" x14ac:dyDescent="0.25">
      <c r="A24" s="113" t="s">
        <v>510</v>
      </c>
      <c r="B24" s="113"/>
      <c r="C24" s="113"/>
      <c r="D24" s="113"/>
      <c r="E24" s="113"/>
      <c r="F24" s="113"/>
      <c r="G24" s="113"/>
      <c r="H24" s="113"/>
      <c r="I24" s="113"/>
    </row>
    <row r="29" spans="1:9" x14ac:dyDescent="0.25">
      <c r="A29" s="33" t="s">
        <v>136</v>
      </c>
    </row>
    <row r="30" spans="1:9" x14ac:dyDescent="0.25">
      <c r="A30" s="34" t="s">
        <v>137</v>
      </c>
    </row>
  </sheetData>
  <mergeCells count="4">
    <mergeCell ref="A19:I19"/>
    <mergeCell ref="A20:I20"/>
    <mergeCell ref="A23:I23"/>
    <mergeCell ref="A24:I24"/>
  </mergeCells>
  <conditionalFormatting sqref="C7:I16">
    <cfRule type="cellIs" dxfId="5" priority="2" operator="equal">
      <formula>"F"</formula>
    </cfRule>
    <cfRule type="cellIs" dxfId="4" priority="3" operator="equal">
      <formula>"S"</formula>
    </cfRule>
    <cfRule type="cellIs" dxfId="3" priority="4" operator="equal">
      <formula>"N"</formula>
    </cfRule>
    <cfRule type="cellIs" dxfId="2" priority="5" operator="equal">
      <formula>"U"</formula>
    </cfRule>
    <cfRule type="cellIs" dxfId="1" priority="6" operator="equal">
      <formula>"K"</formula>
    </cfRule>
    <cfRule type="cellIs" dxfId="0" priority="7" operator="equal">
      <formula>"X"</formula>
    </cfRule>
  </conditionalFormatting>
  <dataValidations count="1">
    <dataValidation type="list" allowBlank="1" errorTitle="Eingabefehler" error="Ungültige Auswahl" sqref="B4">
      <formula1>"Klarnamen,Initialen,MA-ID"</formula1>
      <formula2>0</formula2>
    </dataValidation>
  </dataValidations>
  <pageMargins left="0.4" right="0.4" top="0.5" bottom="0.5" header="0.511811023622047" footer="0.511811023622047"/>
  <pageSetup paperSize="9" fitToHeight="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tabSelected="1" zoomScaleNormal="100" workbookViewId="0">
      <pane ySplit="5" topLeftCell="A6" activePane="bottomLeft" state="frozen"/>
      <selection pane="bottomLeft" activeCell="C17" sqref="C17"/>
    </sheetView>
  </sheetViews>
  <sheetFormatPr baseColWidth="10" defaultColWidth="8.7109375" defaultRowHeight="15" x14ac:dyDescent="0.25"/>
  <cols>
    <col min="1" max="2" width="14" customWidth="1"/>
    <col min="3" max="3" width="18" customWidth="1"/>
    <col min="4" max="5" width="22" customWidth="1"/>
    <col min="6" max="6" width="30" customWidth="1"/>
    <col min="7" max="7" width="28" customWidth="1"/>
    <col min="8" max="8" width="14" customWidth="1"/>
  </cols>
  <sheetData>
    <row r="1" spans="1:29" ht="37.5" customHeight="1" x14ac:dyDescent="0.25">
      <c r="A1" s="15" t="s">
        <v>0</v>
      </c>
      <c r="B1" s="16" t="s">
        <v>511</v>
      </c>
    </row>
    <row r="2" spans="1:29" ht="18" customHeight="1" x14ac:dyDescent="0.25">
      <c r="A2" s="17" t="s">
        <v>2</v>
      </c>
      <c r="B2" s="18" t="s">
        <v>512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4" customHeight="1" x14ac:dyDescent="0.25">
      <c r="A5" s="24" t="s">
        <v>248</v>
      </c>
      <c r="B5" s="24" t="s">
        <v>513</v>
      </c>
      <c r="C5" s="24" t="s">
        <v>514</v>
      </c>
      <c r="D5" s="24" t="s">
        <v>515</v>
      </c>
      <c r="E5" s="24" t="s">
        <v>516</v>
      </c>
      <c r="F5" s="24" t="s">
        <v>517</v>
      </c>
      <c r="G5" s="24" t="s">
        <v>518</v>
      </c>
      <c r="H5" s="24" t="s">
        <v>519</v>
      </c>
    </row>
    <row r="6" spans="1:29" ht="25.5" x14ac:dyDescent="0.25">
      <c r="A6" s="36">
        <v>46143</v>
      </c>
      <c r="B6" s="35" t="s">
        <v>520</v>
      </c>
      <c r="C6" s="35" t="s">
        <v>535</v>
      </c>
      <c r="D6" s="35" t="s">
        <v>521</v>
      </c>
      <c r="E6" s="35" t="s">
        <v>522</v>
      </c>
      <c r="F6" s="108" t="s">
        <v>100</v>
      </c>
      <c r="G6" s="109" t="s">
        <v>523</v>
      </c>
      <c r="H6" s="110" t="s">
        <v>524</v>
      </c>
    </row>
    <row r="7" spans="1:29" x14ac:dyDescent="0.25">
      <c r="A7" s="36">
        <v>46145</v>
      </c>
      <c r="B7" s="35" t="s">
        <v>525</v>
      </c>
      <c r="C7" s="35" t="s">
        <v>535</v>
      </c>
      <c r="D7" s="35" t="s">
        <v>521</v>
      </c>
      <c r="E7" s="35" t="s">
        <v>526</v>
      </c>
      <c r="F7" s="108" t="s">
        <v>103</v>
      </c>
      <c r="G7" s="109" t="s">
        <v>527</v>
      </c>
      <c r="H7" s="110" t="s">
        <v>294</v>
      </c>
    </row>
    <row r="8" spans="1:29" x14ac:dyDescent="0.25">
      <c r="A8" s="36">
        <v>46147</v>
      </c>
      <c r="B8" s="35" t="s">
        <v>528</v>
      </c>
      <c r="C8" s="35" t="s">
        <v>535</v>
      </c>
      <c r="D8" s="35" t="s">
        <v>494</v>
      </c>
      <c r="E8" s="35" t="s">
        <v>529</v>
      </c>
      <c r="F8" s="108" t="s">
        <v>162</v>
      </c>
      <c r="G8" s="109" t="s">
        <v>530</v>
      </c>
      <c r="H8" s="110" t="s">
        <v>294</v>
      </c>
    </row>
    <row r="9" spans="1:29" x14ac:dyDescent="0.25">
      <c r="A9" s="43"/>
      <c r="B9" s="42"/>
      <c r="C9" s="42"/>
      <c r="D9" s="42"/>
      <c r="E9" s="42"/>
      <c r="F9" s="42"/>
      <c r="G9" s="42"/>
      <c r="H9" s="42"/>
    </row>
    <row r="10" spans="1:29" x14ac:dyDescent="0.25">
      <c r="A10" s="43"/>
      <c r="B10" s="42"/>
      <c r="C10" s="42"/>
      <c r="D10" s="42"/>
      <c r="E10" s="42"/>
      <c r="F10" s="42"/>
      <c r="G10" s="42"/>
      <c r="H10" s="42"/>
    </row>
    <row r="11" spans="1:29" x14ac:dyDescent="0.25">
      <c r="A11" s="43"/>
      <c r="B11" s="42"/>
      <c r="C11" s="42"/>
      <c r="D11" s="42"/>
      <c r="E11" s="42"/>
      <c r="F11" s="42"/>
      <c r="G11" s="42"/>
      <c r="H11" s="42"/>
    </row>
    <row r="12" spans="1:29" x14ac:dyDescent="0.25">
      <c r="A12" s="43"/>
      <c r="B12" s="42"/>
      <c r="C12" s="42"/>
      <c r="D12" s="42"/>
      <c r="E12" s="42"/>
      <c r="F12" s="42"/>
      <c r="G12" s="42"/>
      <c r="H12" s="42"/>
    </row>
    <row r="13" spans="1:29" x14ac:dyDescent="0.25">
      <c r="A13" s="43"/>
      <c r="B13" s="42"/>
      <c r="C13" s="42"/>
      <c r="D13" s="42"/>
      <c r="E13" s="42"/>
      <c r="F13" s="42"/>
      <c r="G13" s="42"/>
      <c r="H13" s="42"/>
    </row>
    <row r="14" spans="1:29" x14ac:dyDescent="0.25">
      <c r="A14" s="43"/>
      <c r="B14" s="42"/>
      <c r="C14" s="42"/>
      <c r="D14" s="42"/>
      <c r="E14" s="42"/>
      <c r="F14" s="42"/>
      <c r="G14" s="42"/>
      <c r="H14" s="42"/>
    </row>
    <row r="15" spans="1:29" x14ac:dyDescent="0.25">
      <c r="A15" s="43"/>
      <c r="B15" s="42"/>
      <c r="C15" s="42"/>
      <c r="D15" s="42"/>
      <c r="E15" s="42"/>
      <c r="F15" s="42"/>
      <c r="G15" s="42"/>
      <c r="H15" s="42"/>
    </row>
    <row r="16" spans="1:29" x14ac:dyDescent="0.25">
      <c r="A16" s="43"/>
      <c r="B16" s="42"/>
      <c r="C16" s="42"/>
      <c r="D16" s="42"/>
      <c r="E16" s="42"/>
      <c r="F16" s="42"/>
      <c r="G16" s="42"/>
      <c r="H16" s="42"/>
    </row>
    <row r="17" spans="1:8" x14ac:dyDescent="0.25">
      <c r="A17" s="43"/>
      <c r="B17" s="42"/>
      <c r="C17" s="42"/>
      <c r="D17" s="42"/>
      <c r="E17" s="42"/>
      <c r="F17" s="42"/>
      <c r="G17" s="42"/>
      <c r="H17" s="42"/>
    </row>
    <row r="18" spans="1:8" x14ac:dyDescent="0.25">
      <c r="A18" s="43"/>
      <c r="B18" s="42"/>
      <c r="C18" s="42"/>
      <c r="D18" s="42"/>
      <c r="E18" s="42"/>
      <c r="F18" s="42"/>
      <c r="G18" s="42"/>
      <c r="H18" s="42"/>
    </row>
    <row r="19" spans="1:8" x14ac:dyDescent="0.25">
      <c r="A19" s="43"/>
      <c r="B19" s="42"/>
      <c r="C19" s="42"/>
      <c r="D19" s="42"/>
      <c r="E19" s="42"/>
      <c r="F19" s="42"/>
      <c r="G19" s="42"/>
      <c r="H19" s="42"/>
    </row>
    <row r="20" spans="1:8" x14ac:dyDescent="0.25">
      <c r="A20" s="43"/>
      <c r="B20" s="42"/>
      <c r="C20" s="42"/>
      <c r="D20" s="42"/>
      <c r="E20" s="42"/>
      <c r="F20" s="42"/>
      <c r="G20" s="42"/>
      <c r="H20" s="42"/>
    </row>
    <row r="21" spans="1:8" x14ac:dyDescent="0.25">
      <c r="A21" s="43"/>
      <c r="B21" s="42"/>
      <c r="C21" s="42"/>
      <c r="D21" s="42"/>
      <c r="E21" s="42"/>
      <c r="F21" s="42"/>
      <c r="G21" s="42"/>
      <c r="H21" s="42"/>
    </row>
    <row r="22" spans="1:8" x14ac:dyDescent="0.25">
      <c r="A22" s="43"/>
      <c r="B22" s="42"/>
      <c r="C22" s="42"/>
      <c r="D22" s="42"/>
      <c r="E22" s="42"/>
      <c r="F22" s="42"/>
      <c r="G22" s="42"/>
      <c r="H22" s="42"/>
    </row>
    <row r="23" spans="1:8" x14ac:dyDescent="0.25">
      <c r="A23" s="43"/>
      <c r="B23" s="42"/>
      <c r="C23" s="42"/>
      <c r="D23" s="42"/>
      <c r="E23" s="42"/>
      <c r="F23" s="42"/>
      <c r="G23" s="42"/>
      <c r="H23" s="42"/>
    </row>
    <row r="24" spans="1:8" x14ac:dyDescent="0.25">
      <c r="A24" s="43"/>
      <c r="B24" s="42"/>
      <c r="C24" s="42"/>
      <c r="D24" s="42"/>
      <c r="E24" s="42"/>
      <c r="F24" s="42"/>
      <c r="G24" s="42"/>
      <c r="H24" s="42"/>
    </row>
    <row r="25" spans="1:8" x14ac:dyDescent="0.25">
      <c r="A25" s="43"/>
      <c r="B25" s="42"/>
      <c r="C25" s="42"/>
      <c r="D25" s="42"/>
      <c r="E25" s="42"/>
      <c r="F25" s="42"/>
      <c r="G25" s="42"/>
      <c r="H25" s="42"/>
    </row>
    <row r="26" spans="1:8" x14ac:dyDescent="0.25">
      <c r="A26" s="43"/>
      <c r="B26" s="42"/>
      <c r="C26" s="42"/>
      <c r="D26" s="42"/>
      <c r="E26" s="42"/>
      <c r="F26" s="42"/>
      <c r="G26" s="42"/>
      <c r="H26" s="42"/>
    </row>
    <row r="27" spans="1:8" x14ac:dyDescent="0.25">
      <c r="A27" s="43"/>
      <c r="B27" s="42"/>
      <c r="C27" s="42"/>
      <c r="D27" s="42"/>
      <c r="E27" s="42"/>
      <c r="F27" s="42"/>
      <c r="G27" s="42"/>
      <c r="H27" s="42"/>
    </row>
    <row r="28" spans="1:8" x14ac:dyDescent="0.25">
      <c r="A28" s="43"/>
      <c r="B28" s="42"/>
      <c r="C28" s="42"/>
      <c r="D28" s="42"/>
      <c r="E28" s="42"/>
      <c r="F28" s="42"/>
      <c r="G28" s="42"/>
      <c r="H28" s="42"/>
    </row>
    <row r="29" spans="1:8" x14ac:dyDescent="0.25">
      <c r="A29" s="43"/>
      <c r="B29" s="42"/>
      <c r="C29" s="42"/>
      <c r="D29" s="42"/>
      <c r="E29" s="42"/>
      <c r="F29" s="42"/>
      <c r="G29" s="42"/>
      <c r="H29" s="42"/>
    </row>
    <row r="30" spans="1:8" x14ac:dyDescent="0.25">
      <c r="A30" s="43"/>
      <c r="B30" s="42"/>
      <c r="C30" s="42"/>
      <c r="D30" s="42"/>
      <c r="E30" s="42"/>
      <c r="F30" s="42"/>
      <c r="G30" s="42"/>
      <c r="H30" s="42"/>
    </row>
    <row r="31" spans="1:8" x14ac:dyDescent="0.25">
      <c r="A31" s="43"/>
      <c r="B31" s="42"/>
      <c r="C31" s="42"/>
      <c r="D31" s="42"/>
      <c r="E31" s="42"/>
      <c r="F31" s="42"/>
      <c r="G31" s="42"/>
      <c r="H31" s="42"/>
    </row>
    <row r="32" spans="1:8" x14ac:dyDescent="0.25">
      <c r="A32" s="43"/>
      <c r="B32" s="42"/>
      <c r="C32" s="42"/>
      <c r="D32" s="42"/>
      <c r="E32" s="42"/>
      <c r="F32" s="42"/>
      <c r="G32" s="42"/>
      <c r="H32" s="42"/>
    </row>
    <row r="33" spans="1:8" x14ac:dyDescent="0.25">
      <c r="A33" s="43"/>
      <c r="B33" s="42"/>
      <c r="C33" s="42"/>
      <c r="D33" s="42"/>
      <c r="E33" s="42"/>
      <c r="F33" s="42"/>
      <c r="G33" s="42"/>
      <c r="H33" s="42"/>
    </row>
    <row r="34" spans="1:8" x14ac:dyDescent="0.25">
      <c r="A34" s="43"/>
      <c r="B34" s="42"/>
      <c r="C34" s="42"/>
      <c r="D34" s="42"/>
      <c r="E34" s="42"/>
      <c r="F34" s="42"/>
      <c r="G34" s="42"/>
      <c r="H34" s="42"/>
    </row>
    <row r="35" spans="1:8" x14ac:dyDescent="0.25">
      <c r="A35" s="43"/>
      <c r="B35" s="42"/>
      <c r="C35" s="42"/>
      <c r="D35" s="42"/>
      <c r="E35" s="42"/>
      <c r="F35" s="42"/>
      <c r="G35" s="42"/>
      <c r="H35" s="42"/>
    </row>
    <row r="36" spans="1:8" x14ac:dyDescent="0.25">
      <c r="A36" s="43"/>
      <c r="B36" s="42"/>
      <c r="C36" s="42"/>
      <c r="D36" s="42"/>
      <c r="E36" s="42"/>
      <c r="F36" s="42"/>
      <c r="G36" s="42"/>
      <c r="H36" s="42"/>
    </row>
    <row r="37" spans="1:8" x14ac:dyDescent="0.25">
      <c r="A37" s="43"/>
      <c r="B37" s="42"/>
      <c r="C37" s="42"/>
      <c r="D37" s="42"/>
      <c r="E37" s="42"/>
      <c r="F37" s="42"/>
      <c r="G37" s="42"/>
      <c r="H37" s="42"/>
    </row>
    <row r="38" spans="1:8" x14ac:dyDescent="0.25">
      <c r="A38" s="43"/>
      <c r="B38" s="42"/>
      <c r="C38" s="42"/>
      <c r="D38" s="42"/>
      <c r="E38" s="42"/>
      <c r="F38" s="42"/>
      <c r="G38" s="42"/>
      <c r="H38" s="42"/>
    </row>
    <row r="39" spans="1:8" x14ac:dyDescent="0.25">
      <c r="A39" s="43"/>
      <c r="B39" s="42"/>
      <c r="C39" s="42"/>
      <c r="D39" s="42"/>
      <c r="E39" s="42"/>
      <c r="F39" s="42"/>
      <c r="G39" s="42"/>
      <c r="H39" s="42"/>
    </row>
    <row r="40" spans="1:8" x14ac:dyDescent="0.25">
      <c r="A40" s="43"/>
      <c r="B40" s="42"/>
      <c r="C40" s="42"/>
      <c r="D40" s="42"/>
      <c r="E40" s="42"/>
      <c r="F40" s="42"/>
      <c r="G40" s="42"/>
      <c r="H40" s="42"/>
    </row>
    <row r="41" spans="1:8" x14ac:dyDescent="0.25">
      <c r="A41" s="43"/>
      <c r="B41" s="42"/>
      <c r="C41" s="42"/>
      <c r="D41" s="42"/>
      <c r="E41" s="42"/>
      <c r="F41" s="42"/>
      <c r="G41" s="42"/>
      <c r="H41" s="42"/>
    </row>
    <row r="42" spans="1:8" x14ac:dyDescent="0.25">
      <c r="A42" s="43"/>
      <c r="B42" s="42"/>
      <c r="C42" s="42"/>
      <c r="D42" s="42"/>
      <c r="E42" s="42"/>
      <c r="F42" s="42"/>
      <c r="G42" s="42"/>
      <c r="H42" s="42"/>
    </row>
    <row r="43" spans="1:8" x14ac:dyDescent="0.25">
      <c r="A43" s="43"/>
      <c r="B43" s="42"/>
      <c r="C43" s="42"/>
      <c r="D43" s="42"/>
      <c r="E43" s="42"/>
      <c r="F43" s="42"/>
      <c r="G43" s="42"/>
      <c r="H43" s="42"/>
    </row>
    <row r="44" spans="1:8" x14ac:dyDescent="0.25">
      <c r="A44" s="43"/>
      <c r="B44" s="42"/>
      <c r="C44" s="42"/>
      <c r="D44" s="42"/>
      <c r="E44" s="42"/>
      <c r="F44" s="42"/>
      <c r="G44" s="42"/>
      <c r="H44" s="42"/>
    </row>
    <row r="45" spans="1:8" x14ac:dyDescent="0.25">
      <c r="A45" s="43"/>
      <c r="B45" s="42"/>
      <c r="C45" s="42"/>
      <c r="D45" s="42"/>
      <c r="E45" s="42"/>
      <c r="F45" s="42"/>
      <c r="G45" s="42"/>
      <c r="H45" s="42"/>
    </row>
    <row r="46" spans="1:8" x14ac:dyDescent="0.25">
      <c r="A46" s="43"/>
      <c r="B46" s="42"/>
      <c r="C46" s="42"/>
      <c r="D46" s="42"/>
      <c r="E46" s="42"/>
      <c r="F46" s="42"/>
      <c r="G46" s="42"/>
      <c r="H46" s="42"/>
    </row>
    <row r="47" spans="1:8" x14ac:dyDescent="0.25">
      <c r="A47" s="43"/>
      <c r="B47" s="42"/>
      <c r="C47" s="42"/>
      <c r="D47" s="42"/>
      <c r="E47" s="42"/>
      <c r="F47" s="42"/>
      <c r="G47" s="42"/>
      <c r="H47" s="42"/>
    </row>
    <row r="48" spans="1:8" x14ac:dyDescent="0.25">
      <c r="A48" s="43"/>
      <c r="B48" s="42"/>
      <c r="C48" s="42"/>
      <c r="D48" s="42"/>
      <c r="E48" s="42"/>
      <c r="F48" s="42"/>
      <c r="G48" s="42"/>
      <c r="H48" s="42"/>
    </row>
    <row r="49" spans="1:8" x14ac:dyDescent="0.25">
      <c r="A49" s="43"/>
      <c r="B49" s="42"/>
      <c r="C49" s="42"/>
      <c r="D49" s="42"/>
      <c r="E49" s="42"/>
      <c r="F49" s="42"/>
      <c r="G49" s="42"/>
      <c r="H49" s="42"/>
    </row>
    <row r="50" spans="1:8" x14ac:dyDescent="0.25">
      <c r="A50" s="43"/>
      <c r="B50" s="42"/>
      <c r="C50" s="42"/>
      <c r="D50" s="42"/>
      <c r="E50" s="42"/>
      <c r="F50" s="42"/>
      <c r="G50" s="42"/>
      <c r="H50" s="42"/>
    </row>
    <row r="51" spans="1:8" x14ac:dyDescent="0.25">
      <c r="A51" s="43"/>
      <c r="B51" s="42"/>
      <c r="C51" s="42"/>
      <c r="D51" s="42"/>
      <c r="E51" s="42"/>
      <c r="F51" s="42"/>
      <c r="G51" s="42"/>
      <c r="H51" s="42"/>
    </row>
    <row r="52" spans="1:8" x14ac:dyDescent="0.25">
      <c r="A52" s="43"/>
      <c r="B52" s="42"/>
      <c r="C52" s="42"/>
      <c r="D52" s="42"/>
      <c r="E52" s="42"/>
      <c r="F52" s="42"/>
      <c r="G52" s="42"/>
      <c r="H52" s="42"/>
    </row>
    <row r="53" spans="1:8" x14ac:dyDescent="0.25">
      <c r="A53" s="43"/>
      <c r="B53" s="42"/>
      <c r="C53" s="42"/>
      <c r="D53" s="42"/>
      <c r="E53" s="42"/>
      <c r="F53" s="42"/>
      <c r="G53" s="42"/>
      <c r="H53" s="42"/>
    </row>
    <row r="54" spans="1:8" x14ac:dyDescent="0.25">
      <c r="A54" s="43"/>
      <c r="B54" s="42"/>
      <c r="C54" s="42"/>
      <c r="D54" s="42"/>
      <c r="E54" s="42"/>
      <c r="F54" s="42"/>
      <c r="G54" s="42"/>
      <c r="H54" s="42"/>
    </row>
    <row r="55" spans="1:8" x14ac:dyDescent="0.25">
      <c r="A55" s="43"/>
      <c r="B55" s="42"/>
      <c r="C55" s="42"/>
      <c r="D55" s="42"/>
      <c r="E55" s="42"/>
      <c r="F55" s="42"/>
      <c r="G55" s="42"/>
      <c r="H55" s="42"/>
    </row>
    <row r="58" spans="1:8" ht="15" customHeight="1" x14ac:dyDescent="0.25">
      <c r="A58" s="2" t="s">
        <v>531</v>
      </c>
      <c r="B58" s="2"/>
      <c r="C58" s="2"/>
      <c r="D58" s="2"/>
      <c r="E58" s="2"/>
      <c r="F58" s="2"/>
      <c r="G58" s="2"/>
      <c r="H58" s="2"/>
    </row>
    <row r="59" spans="1:8" ht="37.5" customHeight="1" x14ac:dyDescent="0.25">
      <c r="A59" s="1" t="s">
        <v>532</v>
      </c>
      <c r="B59" s="1"/>
      <c r="C59" s="1"/>
      <c r="D59" s="1"/>
      <c r="E59" s="1"/>
      <c r="F59" s="1"/>
      <c r="G59" s="1"/>
      <c r="H59" s="1"/>
    </row>
    <row r="62" spans="1:8" ht="15" customHeight="1" x14ac:dyDescent="0.25">
      <c r="A62" s="112" t="s">
        <v>533</v>
      </c>
      <c r="B62" s="112"/>
      <c r="C62" s="112"/>
      <c r="D62" s="112"/>
      <c r="E62" s="112"/>
      <c r="F62" s="112"/>
      <c r="G62" s="112"/>
      <c r="H62" s="112"/>
    </row>
    <row r="63" spans="1:8" ht="37.5" customHeight="1" x14ac:dyDescent="0.25">
      <c r="A63" s="113" t="s">
        <v>534</v>
      </c>
      <c r="B63" s="113"/>
      <c r="C63" s="113"/>
      <c r="D63" s="113"/>
      <c r="E63" s="113"/>
      <c r="F63" s="113"/>
      <c r="G63" s="113"/>
      <c r="H63" s="113"/>
    </row>
    <row r="69" spans="1:1" x14ac:dyDescent="0.25">
      <c r="A69" s="33" t="s">
        <v>136</v>
      </c>
    </row>
    <row r="70" spans="1:1" x14ac:dyDescent="0.25">
      <c r="A70" s="34" t="s">
        <v>137</v>
      </c>
    </row>
  </sheetData>
  <mergeCells count="4">
    <mergeCell ref="A58:H58"/>
    <mergeCell ref="A59:H59"/>
    <mergeCell ref="A62:H62"/>
    <mergeCell ref="A63:H63"/>
  </mergeCells>
  <pageMargins left="0.4" right="0.4" top="0.5" bottom="0.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8.7109375" defaultRowHeight="15" x14ac:dyDescent="0.25"/>
  <cols>
    <col min="1" max="1" width="10" customWidth="1"/>
    <col min="2" max="3" width="16" customWidth="1"/>
    <col min="4" max="4" width="10" customWidth="1"/>
    <col min="5" max="5" width="12" customWidth="1"/>
    <col min="6" max="6" width="13" customWidth="1"/>
    <col min="7" max="7" width="24" customWidth="1"/>
    <col min="8" max="8" width="13" customWidth="1"/>
    <col min="9" max="9" width="14" customWidth="1"/>
    <col min="10" max="11" width="24" customWidth="1"/>
    <col min="12" max="12" width="12" customWidth="1"/>
    <col min="13" max="13" width="13" customWidth="1"/>
    <col min="14" max="14" width="8" customWidth="1"/>
    <col min="15" max="15" width="12" customWidth="1"/>
    <col min="16" max="16" width="14" customWidth="1"/>
  </cols>
  <sheetData>
    <row r="1" spans="1:29" ht="37.5" customHeight="1" x14ac:dyDescent="0.25">
      <c r="A1" s="15" t="s">
        <v>0</v>
      </c>
      <c r="B1" s="16" t="s">
        <v>138</v>
      </c>
    </row>
    <row r="2" spans="1:29" ht="18" customHeight="1" x14ac:dyDescent="0.25">
      <c r="A2" s="17" t="s">
        <v>2</v>
      </c>
      <c r="B2" s="18" t="s">
        <v>139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68</v>
      </c>
      <c r="B5" s="24" t="s">
        <v>140</v>
      </c>
      <c r="C5" s="24" t="s">
        <v>141</v>
      </c>
      <c r="D5" s="24" t="s">
        <v>142</v>
      </c>
      <c r="E5" s="24" t="s">
        <v>143</v>
      </c>
      <c r="F5" s="24" t="s">
        <v>144</v>
      </c>
      <c r="G5" s="24" t="s">
        <v>145</v>
      </c>
      <c r="H5" s="24" t="s">
        <v>146</v>
      </c>
      <c r="I5" s="24" t="s">
        <v>147</v>
      </c>
      <c r="J5" s="24" t="s">
        <v>148</v>
      </c>
      <c r="K5" s="24" t="s">
        <v>149</v>
      </c>
      <c r="L5" s="24" t="s">
        <v>150</v>
      </c>
      <c r="M5" s="24" t="s">
        <v>151</v>
      </c>
      <c r="N5" s="24" t="s">
        <v>152</v>
      </c>
      <c r="O5" s="24" t="s">
        <v>153</v>
      </c>
      <c r="P5" s="24" t="s">
        <v>154</v>
      </c>
    </row>
    <row r="6" spans="1:29" x14ac:dyDescent="0.25">
      <c r="A6" s="111" t="s">
        <v>155</v>
      </c>
      <c r="B6" s="111"/>
      <c r="C6" s="111"/>
      <c r="D6" s="111"/>
      <c r="E6" s="111"/>
      <c r="F6" s="111"/>
      <c r="G6" s="111"/>
      <c r="H6" s="111"/>
      <c r="I6" s="111"/>
      <c r="J6" s="111"/>
      <c r="K6" s="111"/>
      <c r="L6" s="111"/>
      <c r="M6" s="111"/>
      <c r="N6" s="111"/>
      <c r="O6" s="111"/>
      <c r="P6" s="111"/>
    </row>
    <row r="7" spans="1:29" x14ac:dyDescent="0.25">
      <c r="A7" s="35" t="s">
        <v>156</v>
      </c>
      <c r="B7" s="25" t="s">
        <v>157</v>
      </c>
      <c r="C7" s="25" t="s">
        <v>158</v>
      </c>
      <c r="D7" s="35" t="s">
        <v>159</v>
      </c>
      <c r="E7" s="36">
        <v>43160</v>
      </c>
      <c r="F7" s="36">
        <v>31213</v>
      </c>
      <c r="G7" s="25" t="s">
        <v>160</v>
      </c>
      <c r="H7" s="37">
        <v>40</v>
      </c>
      <c r="I7" s="38">
        <v>18.5</v>
      </c>
      <c r="J7" s="25" t="s">
        <v>59</v>
      </c>
      <c r="K7" s="25" t="s">
        <v>74</v>
      </c>
      <c r="L7" s="35" t="s">
        <v>161</v>
      </c>
      <c r="M7" s="35" t="s">
        <v>162</v>
      </c>
      <c r="N7" s="39">
        <f t="shared" ref="N7:N38" ca="1" si="0">IFERROR(INT((TODAY()-F7)/365.25),"")</f>
        <v>40</v>
      </c>
      <c r="O7" s="40" t="str">
        <f t="shared" ref="O7:O38" ca="1" si="1">IF(N7="","",IF(N7&lt;18,"⚠ JArbSchG","OK"))</f>
        <v>OK</v>
      </c>
      <c r="P7" s="41" t="s">
        <v>163</v>
      </c>
    </row>
    <row r="8" spans="1:29" x14ac:dyDescent="0.25">
      <c r="A8" s="35" t="s">
        <v>164</v>
      </c>
      <c r="B8" s="25" t="s">
        <v>165</v>
      </c>
      <c r="C8" s="25" t="s">
        <v>166</v>
      </c>
      <c r="D8" s="35" t="s">
        <v>167</v>
      </c>
      <c r="E8" s="36">
        <v>43845</v>
      </c>
      <c r="F8" s="36">
        <v>28816</v>
      </c>
      <c r="G8" s="25" t="s">
        <v>160</v>
      </c>
      <c r="H8" s="37">
        <v>40</v>
      </c>
      <c r="I8" s="38">
        <v>19.2</v>
      </c>
      <c r="J8" s="25" t="s">
        <v>59</v>
      </c>
      <c r="K8" s="25" t="s">
        <v>74</v>
      </c>
      <c r="L8" s="35" t="s">
        <v>161</v>
      </c>
      <c r="M8" s="35" t="s">
        <v>161</v>
      </c>
      <c r="N8" s="39">
        <f t="shared" ca="1" si="0"/>
        <v>47</v>
      </c>
      <c r="O8" s="40" t="str">
        <f t="shared" ca="1" si="1"/>
        <v>OK</v>
      </c>
      <c r="P8" s="41" t="s">
        <v>163</v>
      </c>
    </row>
    <row r="9" spans="1:29" x14ac:dyDescent="0.25">
      <c r="A9" s="35" t="s">
        <v>168</v>
      </c>
      <c r="B9" s="25" t="s">
        <v>169</v>
      </c>
      <c r="C9" s="25" t="s">
        <v>170</v>
      </c>
      <c r="D9" s="35" t="s">
        <v>171</v>
      </c>
      <c r="E9" s="36">
        <v>44440</v>
      </c>
      <c r="F9" s="36">
        <v>33697</v>
      </c>
      <c r="G9" s="25" t="s">
        <v>172</v>
      </c>
      <c r="H9" s="37">
        <v>25</v>
      </c>
      <c r="I9" s="38">
        <v>17.8</v>
      </c>
      <c r="J9" s="25" t="s">
        <v>59</v>
      </c>
      <c r="K9" s="25" t="s">
        <v>74</v>
      </c>
      <c r="L9" s="35" t="s">
        <v>162</v>
      </c>
      <c r="M9" s="35" t="s">
        <v>162</v>
      </c>
      <c r="N9" s="39">
        <f t="shared" ca="1" si="0"/>
        <v>34</v>
      </c>
      <c r="O9" s="40" t="str">
        <f t="shared" ca="1" si="1"/>
        <v>OK</v>
      </c>
      <c r="P9" s="41" t="s">
        <v>163</v>
      </c>
    </row>
    <row r="10" spans="1:29" x14ac:dyDescent="0.25">
      <c r="A10" s="35" t="s">
        <v>173</v>
      </c>
      <c r="B10" s="25" t="s">
        <v>174</v>
      </c>
      <c r="C10" s="25" t="s">
        <v>175</v>
      </c>
      <c r="D10" s="35" t="s">
        <v>176</v>
      </c>
      <c r="E10" s="36">
        <v>43626</v>
      </c>
      <c r="F10" s="36">
        <v>33115</v>
      </c>
      <c r="G10" s="25" t="s">
        <v>160</v>
      </c>
      <c r="H10" s="37">
        <v>40</v>
      </c>
      <c r="I10" s="38">
        <v>18.899999999999999</v>
      </c>
      <c r="J10" s="25" t="s">
        <v>59</v>
      </c>
      <c r="K10" s="25" t="s">
        <v>78</v>
      </c>
      <c r="L10" s="35" t="s">
        <v>161</v>
      </c>
      <c r="M10" s="35" t="s">
        <v>161</v>
      </c>
      <c r="N10" s="39">
        <f t="shared" ca="1" si="0"/>
        <v>35</v>
      </c>
      <c r="O10" s="40" t="str">
        <f t="shared" ca="1" si="1"/>
        <v>OK</v>
      </c>
      <c r="P10" s="41" t="s">
        <v>163</v>
      </c>
    </row>
    <row r="11" spans="1:29" x14ac:dyDescent="0.25">
      <c r="A11" s="35" t="s">
        <v>177</v>
      </c>
      <c r="B11" s="25" t="s">
        <v>178</v>
      </c>
      <c r="C11" s="25" t="s">
        <v>179</v>
      </c>
      <c r="D11" s="35" t="s">
        <v>180</v>
      </c>
      <c r="E11" s="36">
        <v>44656</v>
      </c>
      <c r="F11" s="36">
        <v>34711</v>
      </c>
      <c r="G11" s="25" t="s">
        <v>172</v>
      </c>
      <c r="H11" s="37">
        <v>30</v>
      </c>
      <c r="I11" s="38">
        <v>18</v>
      </c>
      <c r="J11" s="25" t="s">
        <v>59</v>
      </c>
      <c r="K11" s="25" t="s">
        <v>78</v>
      </c>
      <c r="L11" s="35" t="s">
        <v>161</v>
      </c>
      <c r="M11" s="35" t="s">
        <v>162</v>
      </c>
      <c r="N11" s="39">
        <f t="shared" ca="1" si="0"/>
        <v>31</v>
      </c>
      <c r="O11" s="40" t="str">
        <f t="shared" ca="1" si="1"/>
        <v>OK</v>
      </c>
      <c r="P11" s="41" t="s">
        <v>163</v>
      </c>
    </row>
    <row r="12" spans="1:29" x14ac:dyDescent="0.25">
      <c r="A12" s="35" t="s">
        <v>181</v>
      </c>
      <c r="B12" s="25" t="s">
        <v>182</v>
      </c>
      <c r="C12" s="25" t="s">
        <v>183</v>
      </c>
      <c r="D12" s="35" t="s">
        <v>184</v>
      </c>
      <c r="E12" s="36">
        <v>42967</v>
      </c>
      <c r="F12" s="36">
        <v>30293</v>
      </c>
      <c r="G12" s="25" t="s">
        <v>160</v>
      </c>
      <c r="H12" s="37">
        <v>40</v>
      </c>
      <c r="I12" s="38">
        <v>20.100000000000001</v>
      </c>
      <c r="J12" s="25" t="s">
        <v>59</v>
      </c>
      <c r="K12" s="25" t="s">
        <v>74</v>
      </c>
      <c r="L12" s="35" t="s">
        <v>161</v>
      </c>
      <c r="M12" s="35" t="s">
        <v>161</v>
      </c>
      <c r="N12" s="39">
        <f t="shared" ca="1" si="0"/>
        <v>43</v>
      </c>
      <c r="O12" s="40" t="str">
        <f t="shared" ca="1" si="1"/>
        <v>OK</v>
      </c>
      <c r="P12" s="41" t="s">
        <v>163</v>
      </c>
    </row>
    <row r="13" spans="1:29" x14ac:dyDescent="0.25">
      <c r="A13" s="35" t="s">
        <v>185</v>
      </c>
      <c r="B13" s="25" t="s">
        <v>186</v>
      </c>
      <c r="C13" s="25" t="s">
        <v>187</v>
      </c>
      <c r="D13" s="35" t="s">
        <v>188</v>
      </c>
      <c r="E13" s="36">
        <v>44958</v>
      </c>
      <c r="F13" s="36">
        <v>36732</v>
      </c>
      <c r="G13" s="25" t="s">
        <v>189</v>
      </c>
      <c r="H13" s="37">
        <v>37.5</v>
      </c>
      <c r="I13" s="38">
        <v>12.4</v>
      </c>
      <c r="J13" s="25" t="s">
        <v>59</v>
      </c>
      <c r="K13" s="25" t="s">
        <v>74</v>
      </c>
      <c r="L13" s="35" t="s">
        <v>161</v>
      </c>
      <c r="M13" s="35" t="s">
        <v>162</v>
      </c>
      <c r="N13" s="39">
        <f t="shared" ca="1" si="0"/>
        <v>25</v>
      </c>
      <c r="O13" s="40" t="str">
        <f t="shared" ca="1" si="1"/>
        <v>OK</v>
      </c>
      <c r="P13" s="41" t="s">
        <v>163</v>
      </c>
    </row>
    <row r="14" spans="1:29" x14ac:dyDescent="0.25">
      <c r="A14" s="35" t="s">
        <v>190</v>
      </c>
      <c r="B14" s="25" t="s">
        <v>191</v>
      </c>
      <c r="C14" s="25" t="s">
        <v>158</v>
      </c>
      <c r="D14" s="35" t="s">
        <v>192</v>
      </c>
      <c r="E14" s="36">
        <v>42686</v>
      </c>
      <c r="F14" s="36">
        <v>27471</v>
      </c>
      <c r="G14" s="25" t="s">
        <v>160</v>
      </c>
      <c r="H14" s="37">
        <v>40</v>
      </c>
      <c r="I14" s="38">
        <v>21.5</v>
      </c>
      <c r="J14" s="25" t="s">
        <v>59</v>
      </c>
      <c r="K14" s="25" t="s">
        <v>82</v>
      </c>
      <c r="L14" s="35" t="s">
        <v>161</v>
      </c>
      <c r="M14" s="35" t="s">
        <v>161</v>
      </c>
      <c r="N14" s="39">
        <f t="shared" ca="1" si="0"/>
        <v>51</v>
      </c>
      <c r="O14" s="40" t="str">
        <f t="shared" ca="1" si="1"/>
        <v>OK</v>
      </c>
      <c r="P14" s="41" t="s">
        <v>163</v>
      </c>
    </row>
    <row r="15" spans="1:29" x14ac:dyDescent="0.25">
      <c r="A15" s="35" t="s">
        <v>193</v>
      </c>
      <c r="B15" s="25" t="s">
        <v>194</v>
      </c>
      <c r="C15" s="25" t="s">
        <v>166</v>
      </c>
      <c r="D15" s="35" t="s">
        <v>195</v>
      </c>
      <c r="E15" s="36">
        <v>45299</v>
      </c>
      <c r="F15" s="36">
        <v>32400</v>
      </c>
      <c r="G15" s="25" t="s">
        <v>196</v>
      </c>
      <c r="H15" s="37">
        <v>10</v>
      </c>
      <c r="I15" s="38">
        <v>15</v>
      </c>
      <c r="J15" s="25" t="s">
        <v>59</v>
      </c>
      <c r="K15" s="25" t="s">
        <v>74</v>
      </c>
      <c r="L15" s="35" t="s">
        <v>162</v>
      </c>
      <c r="M15" s="35" t="s">
        <v>162</v>
      </c>
      <c r="N15" s="39">
        <f t="shared" ca="1" si="0"/>
        <v>37</v>
      </c>
      <c r="O15" s="40" t="str">
        <f t="shared" ca="1" si="1"/>
        <v>OK</v>
      </c>
      <c r="P15" s="41" t="s">
        <v>163</v>
      </c>
    </row>
    <row r="16" spans="1:29" x14ac:dyDescent="0.25">
      <c r="A16" s="35" t="s">
        <v>197</v>
      </c>
      <c r="B16" s="25" t="s">
        <v>198</v>
      </c>
      <c r="C16" s="25" t="s">
        <v>170</v>
      </c>
      <c r="D16" s="35" t="s">
        <v>199</v>
      </c>
      <c r="E16" s="36">
        <v>44105</v>
      </c>
      <c r="F16" s="36">
        <v>34116</v>
      </c>
      <c r="G16" s="25" t="s">
        <v>160</v>
      </c>
      <c r="H16" s="37">
        <v>40</v>
      </c>
      <c r="I16" s="38">
        <v>19.8</v>
      </c>
      <c r="J16" s="25" t="s">
        <v>59</v>
      </c>
      <c r="K16" s="25" t="s">
        <v>78</v>
      </c>
      <c r="L16" s="35" t="s">
        <v>161</v>
      </c>
      <c r="M16" s="35" t="s">
        <v>161</v>
      </c>
      <c r="N16" s="39">
        <f t="shared" ca="1" si="0"/>
        <v>32</v>
      </c>
      <c r="O16" s="40" t="str">
        <f t="shared" ca="1" si="1"/>
        <v>OK</v>
      </c>
      <c r="P16" s="41" t="s">
        <v>163</v>
      </c>
    </row>
    <row r="17" spans="1:16" x14ac:dyDescent="0.25">
      <c r="A17" s="42"/>
      <c r="B17" s="42"/>
      <c r="C17" s="42"/>
      <c r="D17" s="42"/>
      <c r="E17" s="43"/>
      <c r="F17" s="43"/>
      <c r="G17" s="42"/>
      <c r="H17" s="44"/>
      <c r="I17" s="45"/>
      <c r="J17" s="42"/>
      <c r="K17" s="42"/>
      <c r="L17" s="42"/>
      <c r="M17" s="42"/>
      <c r="N17" s="42">
        <f t="shared" ca="1" si="0"/>
        <v>126</v>
      </c>
      <c r="O17" s="42" t="str">
        <f t="shared" ca="1" si="1"/>
        <v>OK</v>
      </c>
      <c r="P17" s="42"/>
    </row>
    <row r="18" spans="1:16" x14ac:dyDescent="0.25">
      <c r="A18" s="42"/>
      <c r="B18" s="42"/>
      <c r="C18" s="42"/>
      <c r="D18" s="42"/>
      <c r="E18" s="43"/>
      <c r="F18" s="43"/>
      <c r="G18" s="42"/>
      <c r="H18" s="44"/>
      <c r="I18" s="45"/>
      <c r="J18" s="42"/>
      <c r="K18" s="42"/>
      <c r="L18" s="42"/>
      <c r="M18" s="42"/>
      <c r="N18" s="42">
        <f t="shared" ca="1" si="0"/>
        <v>126</v>
      </c>
      <c r="O18" s="42" t="str">
        <f t="shared" ca="1" si="1"/>
        <v>OK</v>
      </c>
      <c r="P18" s="42"/>
    </row>
    <row r="19" spans="1:16" x14ac:dyDescent="0.25">
      <c r="A19" s="42"/>
      <c r="B19" s="42"/>
      <c r="C19" s="42"/>
      <c r="D19" s="42"/>
      <c r="E19" s="43"/>
      <c r="F19" s="43"/>
      <c r="G19" s="42"/>
      <c r="H19" s="44"/>
      <c r="I19" s="45"/>
      <c r="J19" s="42"/>
      <c r="K19" s="42"/>
      <c r="L19" s="42"/>
      <c r="M19" s="42"/>
      <c r="N19" s="42">
        <f t="shared" ca="1" si="0"/>
        <v>126</v>
      </c>
      <c r="O19" s="42" t="str">
        <f t="shared" ca="1" si="1"/>
        <v>OK</v>
      </c>
      <c r="P19" s="42"/>
    </row>
    <row r="20" spans="1:16" x14ac:dyDescent="0.25">
      <c r="A20" s="42"/>
      <c r="B20" s="42"/>
      <c r="C20" s="42"/>
      <c r="D20" s="42"/>
      <c r="E20" s="43"/>
      <c r="F20" s="43"/>
      <c r="G20" s="42"/>
      <c r="H20" s="44"/>
      <c r="I20" s="45"/>
      <c r="J20" s="42"/>
      <c r="K20" s="42"/>
      <c r="L20" s="42"/>
      <c r="M20" s="42"/>
      <c r="N20" s="42">
        <f t="shared" ca="1" si="0"/>
        <v>126</v>
      </c>
      <c r="O20" s="42" t="str">
        <f t="shared" ca="1" si="1"/>
        <v>OK</v>
      </c>
      <c r="P20" s="42"/>
    </row>
    <row r="21" spans="1:16" x14ac:dyDescent="0.25">
      <c r="A21" s="42"/>
      <c r="B21" s="42"/>
      <c r="C21" s="42"/>
      <c r="D21" s="42"/>
      <c r="E21" s="43"/>
      <c r="F21" s="43"/>
      <c r="G21" s="42"/>
      <c r="H21" s="44"/>
      <c r="I21" s="45"/>
      <c r="J21" s="42"/>
      <c r="K21" s="42"/>
      <c r="L21" s="42"/>
      <c r="M21" s="42"/>
      <c r="N21" s="42">
        <f t="shared" ca="1" si="0"/>
        <v>126</v>
      </c>
      <c r="O21" s="42" t="str">
        <f t="shared" ca="1" si="1"/>
        <v>OK</v>
      </c>
      <c r="P21" s="42"/>
    </row>
    <row r="22" spans="1:16" x14ac:dyDescent="0.25">
      <c r="A22" s="42"/>
      <c r="B22" s="42"/>
      <c r="C22" s="42"/>
      <c r="D22" s="42"/>
      <c r="E22" s="43"/>
      <c r="F22" s="43"/>
      <c r="G22" s="42"/>
      <c r="H22" s="44"/>
      <c r="I22" s="45"/>
      <c r="J22" s="42"/>
      <c r="K22" s="42"/>
      <c r="L22" s="42"/>
      <c r="M22" s="42"/>
      <c r="N22" s="42">
        <f t="shared" ca="1" si="0"/>
        <v>126</v>
      </c>
      <c r="O22" s="42" t="str">
        <f t="shared" ca="1" si="1"/>
        <v>OK</v>
      </c>
      <c r="P22" s="42"/>
    </row>
    <row r="23" spans="1:16" x14ac:dyDescent="0.25">
      <c r="A23" s="42"/>
      <c r="B23" s="42"/>
      <c r="C23" s="42"/>
      <c r="D23" s="42"/>
      <c r="E23" s="43"/>
      <c r="F23" s="43"/>
      <c r="G23" s="42"/>
      <c r="H23" s="44"/>
      <c r="I23" s="45"/>
      <c r="J23" s="42"/>
      <c r="K23" s="42"/>
      <c r="L23" s="42"/>
      <c r="M23" s="42"/>
      <c r="N23" s="42">
        <f t="shared" ca="1" si="0"/>
        <v>126</v>
      </c>
      <c r="O23" s="42" t="str">
        <f t="shared" ca="1" si="1"/>
        <v>OK</v>
      </c>
      <c r="P23" s="42"/>
    </row>
    <row r="24" spans="1:16" x14ac:dyDescent="0.25">
      <c r="A24" s="42"/>
      <c r="B24" s="42"/>
      <c r="C24" s="42"/>
      <c r="D24" s="42"/>
      <c r="E24" s="43"/>
      <c r="F24" s="43"/>
      <c r="G24" s="42"/>
      <c r="H24" s="44"/>
      <c r="I24" s="45"/>
      <c r="J24" s="42"/>
      <c r="K24" s="42"/>
      <c r="L24" s="42"/>
      <c r="M24" s="42"/>
      <c r="N24" s="42">
        <f t="shared" ca="1" si="0"/>
        <v>126</v>
      </c>
      <c r="O24" s="42" t="str">
        <f t="shared" ca="1" si="1"/>
        <v>OK</v>
      </c>
      <c r="P24" s="42"/>
    </row>
    <row r="25" spans="1:16" x14ac:dyDescent="0.25">
      <c r="A25" s="42"/>
      <c r="B25" s="42"/>
      <c r="C25" s="42"/>
      <c r="D25" s="42"/>
      <c r="E25" s="43"/>
      <c r="F25" s="43"/>
      <c r="G25" s="42"/>
      <c r="H25" s="44"/>
      <c r="I25" s="45"/>
      <c r="J25" s="42"/>
      <c r="K25" s="42"/>
      <c r="L25" s="42"/>
      <c r="M25" s="42"/>
      <c r="N25" s="42">
        <f t="shared" ca="1" si="0"/>
        <v>126</v>
      </c>
      <c r="O25" s="42" t="str">
        <f t="shared" ca="1" si="1"/>
        <v>OK</v>
      </c>
      <c r="P25" s="42"/>
    </row>
    <row r="26" spans="1:16" x14ac:dyDescent="0.25">
      <c r="A26" s="42"/>
      <c r="B26" s="42"/>
      <c r="C26" s="42"/>
      <c r="D26" s="42"/>
      <c r="E26" s="43"/>
      <c r="F26" s="43"/>
      <c r="G26" s="42"/>
      <c r="H26" s="44"/>
      <c r="I26" s="45"/>
      <c r="J26" s="42"/>
      <c r="K26" s="42"/>
      <c r="L26" s="42"/>
      <c r="M26" s="42"/>
      <c r="N26" s="42">
        <f t="shared" ca="1" si="0"/>
        <v>126</v>
      </c>
      <c r="O26" s="42" t="str">
        <f t="shared" ca="1" si="1"/>
        <v>OK</v>
      </c>
      <c r="P26" s="42"/>
    </row>
    <row r="27" spans="1:16" x14ac:dyDescent="0.25">
      <c r="A27" s="42"/>
      <c r="B27" s="42"/>
      <c r="C27" s="42"/>
      <c r="D27" s="42"/>
      <c r="E27" s="43"/>
      <c r="F27" s="43"/>
      <c r="G27" s="42"/>
      <c r="H27" s="44"/>
      <c r="I27" s="45"/>
      <c r="J27" s="42"/>
      <c r="K27" s="42"/>
      <c r="L27" s="42"/>
      <c r="M27" s="42"/>
      <c r="N27" s="42">
        <f t="shared" ca="1" si="0"/>
        <v>126</v>
      </c>
      <c r="O27" s="42" t="str">
        <f t="shared" ca="1" si="1"/>
        <v>OK</v>
      </c>
      <c r="P27" s="42"/>
    </row>
    <row r="28" spans="1:16" x14ac:dyDescent="0.25">
      <c r="A28" s="42"/>
      <c r="B28" s="42"/>
      <c r="C28" s="42"/>
      <c r="D28" s="42"/>
      <c r="E28" s="43"/>
      <c r="F28" s="43"/>
      <c r="G28" s="42"/>
      <c r="H28" s="44"/>
      <c r="I28" s="45"/>
      <c r="J28" s="42"/>
      <c r="K28" s="42"/>
      <c r="L28" s="42"/>
      <c r="M28" s="42"/>
      <c r="N28" s="42">
        <f t="shared" ca="1" si="0"/>
        <v>126</v>
      </c>
      <c r="O28" s="42" t="str">
        <f t="shared" ca="1" si="1"/>
        <v>OK</v>
      </c>
      <c r="P28" s="42"/>
    </row>
    <row r="29" spans="1:16" x14ac:dyDescent="0.25">
      <c r="A29" s="42"/>
      <c r="B29" s="42"/>
      <c r="C29" s="42"/>
      <c r="D29" s="42"/>
      <c r="E29" s="43"/>
      <c r="F29" s="43"/>
      <c r="G29" s="42"/>
      <c r="H29" s="44"/>
      <c r="I29" s="45"/>
      <c r="J29" s="42"/>
      <c r="K29" s="42"/>
      <c r="L29" s="42"/>
      <c r="M29" s="42"/>
      <c r="N29" s="42">
        <f t="shared" ca="1" si="0"/>
        <v>126</v>
      </c>
      <c r="O29" s="42" t="str">
        <f t="shared" ca="1" si="1"/>
        <v>OK</v>
      </c>
      <c r="P29" s="42"/>
    </row>
    <row r="30" spans="1:16" x14ac:dyDescent="0.25">
      <c r="A30" s="42"/>
      <c r="B30" s="42"/>
      <c r="C30" s="42"/>
      <c r="D30" s="42"/>
      <c r="E30" s="43"/>
      <c r="F30" s="43"/>
      <c r="G30" s="42"/>
      <c r="H30" s="44"/>
      <c r="I30" s="45"/>
      <c r="J30" s="42"/>
      <c r="K30" s="42"/>
      <c r="L30" s="42"/>
      <c r="M30" s="42"/>
      <c r="N30" s="42">
        <f t="shared" ca="1" si="0"/>
        <v>126</v>
      </c>
      <c r="O30" s="42" t="str">
        <f t="shared" ca="1" si="1"/>
        <v>OK</v>
      </c>
      <c r="P30" s="42"/>
    </row>
    <row r="31" spans="1:16" x14ac:dyDescent="0.25">
      <c r="A31" s="42"/>
      <c r="B31" s="42"/>
      <c r="C31" s="42"/>
      <c r="D31" s="42"/>
      <c r="E31" s="43"/>
      <c r="F31" s="43"/>
      <c r="G31" s="42"/>
      <c r="H31" s="44"/>
      <c r="I31" s="45"/>
      <c r="J31" s="42"/>
      <c r="K31" s="42"/>
      <c r="L31" s="42"/>
      <c r="M31" s="42"/>
      <c r="N31" s="42">
        <f t="shared" ca="1" si="0"/>
        <v>126</v>
      </c>
      <c r="O31" s="42" t="str">
        <f t="shared" ca="1" si="1"/>
        <v>OK</v>
      </c>
      <c r="P31" s="42"/>
    </row>
    <row r="32" spans="1:16" x14ac:dyDescent="0.25">
      <c r="A32" s="42"/>
      <c r="B32" s="42"/>
      <c r="C32" s="42"/>
      <c r="D32" s="42"/>
      <c r="E32" s="43"/>
      <c r="F32" s="43"/>
      <c r="G32" s="42"/>
      <c r="H32" s="44"/>
      <c r="I32" s="45"/>
      <c r="J32" s="42"/>
      <c r="K32" s="42"/>
      <c r="L32" s="42"/>
      <c r="M32" s="42"/>
      <c r="N32" s="42">
        <f t="shared" ca="1" si="0"/>
        <v>126</v>
      </c>
      <c r="O32" s="42" t="str">
        <f t="shared" ca="1" si="1"/>
        <v>OK</v>
      </c>
      <c r="P32" s="42"/>
    </row>
    <row r="33" spans="1:16" x14ac:dyDescent="0.25">
      <c r="A33" s="42"/>
      <c r="B33" s="42"/>
      <c r="C33" s="42"/>
      <c r="D33" s="42"/>
      <c r="E33" s="43"/>
      <c r="F33" s="43"/>
      <c r="G33" s="42"/>
      <c r="H33" s="44"/>
      <c r="I33" s="45"/>
      <c r="J33" s="42"/>
      <c r="K33" s="42"/>
      <c r="L33" s="42"/>
      <c r="M33" s="42"/>
      <c r="N33" s="42">
        <f t="shared" ca="1" si="0"/>
        <v>126</v>
      </c>
      <c r="O33" s="42" t="str">
        <f t="shared" ca="1" si="1"/>
        <v>OK</v>
      </c>
      <c r="P33" s="42"/>
    </row>
    <row r="34" spans="1:16" x14ac:dyDescent="0.25">
      <c r="A34" s="42"/>
      <c r="B34" s="42"/>
      <c r="C34" s="42"/>
      <c r="D34" s="42"/>
      <c r="E34" s="43"/>
      <c r="F34" s="43"/>
      <c r="G34" s="42"/>
      <c r="H34" s="44"/>
      <c r="I34" s="45"/>
      <c r="J34" s="42"/>
      <c r="K34" s="42"/>
      <c r="L34" s="42"/>
      <c r="M34" s="42"/>
      <c r="N34" s="42">
        <f t="shared" ca="1" si="0"/>
        <v>126</v>
      </c>
      <c r="O34" s="42" t="str">
        <f t="shared" ca="1" si="1"/>
        <v>OK</v>
      </c>
      <c r="P34" s="42"/>
    </row>
    <row r="35" spans="1:16" x14ac:dyDescent="0.25">
      <c r="A35" s="42"/>
      <c r="B35" s="42"/>
      <c r="C35" s="42"/>
      <c r="D35" s="42"/>
      <c r="E35" s="43"/>
      <c r="F35" s="43"/>
      <c r="G35" s="42"/>
      <c r="H35" s="44"/>
      <c r="I35" s="45"/>
      <c r="J35" s="42"/>
      <c r="K35" s="42"/>
      <c r="L35" s="42"/>
      <c r="M35" s="42"/>
      <c r="N35" s="42">
        <f t="shared" ca="1" si="0"/>
        <v>126</v>
      </c>
      <c r="O35" s="42" t="str">
        <f t="shared" ca="1" si="1"/>
        <v>OK</v>
      </c>
      <c r="P35" s="42"/>
    </row>
    <row r="36" spans="1:16" x14ac:dyDescent="0.25">
      <c r="A36" s="42"/>
      <c r="B36" s="42"/>
      <c r="C36" s="42"/>
      <c r="D36" s="42"/>
      <c r="E36" s="43"/>
      <c r="F36" s="43"/>
      <c r="G36" s="42"/>
      <c r="H36" s="44"/>
      <c r="I36" s="45"/>
      <c r="J36" s="42"/>
      <c r="K36" s="42"/>
      <c r="L36" s="42"/>
      <c r="M36" s="42"/>
      <c r="N36" s="42">
        <f t="shared" ca="1" si="0"/>
        <v>126</v>
      </c>
      <c r="O36" s="42" t="str">
        <f t="shared" ca="1" si="1"/>
        <v>OK</v>
      </c>
      <c r="P36" s="42"/>
    </row>
    <row r="37" spans="1:16" x14ac:dyDescent="0.25">
      <c r="A37" s="42"/>
      <c r="B37" s="42"/>
      <c r="C37" s="42"/>
      <c r="D37" s="42"/>
      <c r="E37" s="43"/>
      <c r="F37" s="43"/>
      <c r="G37" s="42"/>
      <c r="H37" s="44"/>
      <c r="I37" s="45"/>
      <c r="J37" s="42"/>
      <c r="K37" s="42"/>
      <c r="L37" s="42"/>
      <c r="M37" s="42"/>
      <c r="N37" s="42">
        <f t="shared" ca="1" si="0"/>
        <v>126</v>
      </c>
      <c r="O37" s="42" t="str">
        <f t="shared" ca="1" si="1"/>
        <v>OK</v>
      </c>
      <c r="P37" s="42"/>
    </row>
    <row r="38" spans="1:16" x14ac:dyDescent="0.25">
      <c r="A38" s="42"/>
      <c r="B38" s="42"/>
      <c r="C38" s="42"/>
      <c r="D38" s="42"/>
      <c r="E38" s="43"/>
      <c r="F38" s="43"/>
      <c r="G38" s="42"/>
      <c r="H38" s="44"/>
      <c r="I38" s="45"/>
      <c r="J38" s="42"/>
      <c r="K38" s="42"/>
      <c r="L38" s="42"/>
      <c r="M38" s="42"/>
      <c r="N38" s="42">
        <f t="shared" ca="1" si="0"/>
        <v>126</v>
      </c>
      <c r="O38" s="42" t="str">
        <f t="shared" ca="1" si="1"/>
        <v>OK</v>
      </c>
      <c r="P38" s="42"/>
    </row>
    <row r="39" spans="1:16" x14ac:dyDescent="0.25">
      <c r="A39" s="42"/>
      <c r="B39" s="42"/>
      <c r="C39" s="42"/>
      <c r="D39" s="42"/>
      <c r="E39" s="43"/>
      <c r="F39" s="43"/>
      <c r="G39" s="42"/>
      <c r="H39" s="44"/>
      <c r="I39" s="45"/>
      <c r="J39" s="42"/>
      <c r="K39" s="42"/>
      <c r="L39" s="42"/>
      <c r="M39" s="42"/>
      <c r="N39" s="42">
        <f t="shared" ref="N39:N70" ca="1" si="2">IFERROR(INT((TODAY()-F39)/365.25),"")</f>
        <v>126</v>
      </c>
      <c r="O39" s="42" t="str">
        <f t="shared" ref="O39:O70" ca="1" si="3">IF(N39="","",IF(N39&lt;18,"⚠ JArbSchG","OK"))</f>
        <v>OK</v>
      </c>
      <c r="P39" s="42"/>
    </row>
    <row r="40" spans="1:16" x14ac:dyDescent="0.25">
      <c r="A40" s="42"/>
      <c r="B40" s="42"/>
      <c r="C40" s="42"/>
      <c r="D40" s="42"/>
      <c r="E40" s="43"/>
      <c r="F40" s="43"/>
      <c r="G40" s="42"/>
      <c r="H40" s="44"/>
      <c r="I40" s="45"/>
      <c r="J40" s="42"/>
      <c r="K40" s="42"/>
      <c r="L40" s="42"/>
      <c r="M40" s="42"/>
      <c r="N40" s="42">
        <f t="shared" ca="1" si="2"/>
        <v>126</v>
      </c>
      <c r="O40" s="42" t="str">
        <f t="shared" ca="1" si="3"/>
        <v>OK</v>
      </c>
      <c r="P40" s="42"/>
    </row>
    <row r="41" spans="1:16" x14ac:dyDescent="0.25">
      <c r="A41" s="42"/>
      <c r="B41" s="42"/>
      <c r="C41" s="42"/>
      <c r="D41" s="42"/>
      <c r="E41" s="43"/>
      <c r="F41" s="43"/>
      <c r="G41" s="42"/>
      <c r="H41" s="44"/>
      <c r="I41" s="45"/>
      <c r="J41" s="42"/>
      <c r="K41" s="42"/>
      <c r="L41" s="42"/>
      <c r="M41" s="42"/>
      <c r="N41" s="42">
        <f t="shared" ca="1" si="2"/>
        <v>126</v>
      </c>
      <c r="O41" s="42" t="str">
        <f t="shared" ca="1" si="3"/>
        <v>OK</v>
      </c>
      <c r="P41" s="42"/>
    </row>
    <row r="42" spans="1:16" x14ac:dyDescent="0.25">
      <c r="A42" s="42"/>
      <c r="B42" s="42"/>
      <c r="C42" s="42"/>
      <c r="D42" s="42"/>
      <c r="E42" s="43"/>
      <c r="F42" s="43"/>
      <c r="G42" s="42"/>
      <c r="H42" s="44"/>
      <c r="I42" s="45"/>
      <c r="J42" s="42"/>
      <c r="K42" s="42"/>
      <c r="L42" s="42"/>
      <c r="M42" s="42"/>
      <c r="N42" s="42">
        <f t="shared" ca="1" si="2"/>
        <v>126</v>
      </c>
      <c r="O42" s="42" t="str">
        <f t="shared" ca="1" si="3"/>
        <v>OK</v>
      </c>
      <c r="P42" s="42"/>
    </row>
    <row r="43" spans="1:16" x14ac:dyDescent="0.25">
      <c r="A43" s="42"/>
      <c r="B43" s="42"/>
      <c r="C43" s="42"/>
      <c r="D43" s="42"/>
      <c r="E43" s="43"/>
      <c r="F43" s="43"/>
      <c r="G43" s="42"/>
      <c r="H43" s="44"/>
      <c r="I43" s="45"/>
      <c r="J43" s="42"/>
      <c r="K43" s="42"/>
      <c r="L43" s="42"/>
      <c r="M43" s="42"/>
      <c r="N43" s="42">
        <f t="shared" ca="1" si="2"/>
        <v>126</v>
      </c>
      <c r="O43" s="42" t="str">
        <f t="shared" ca="1" si="3"/>
        <v>OK</v>
      </c>
      <c r="P43" s="42"/>
    </row>
    <row r="44" spans="1:16" x14ac:dyDescent="0.25">
      <c r="A44" s="42"/>
      <c r="B44" s="42"/>
      <c r="C44" s="42"/>
      <c r="D44" s="42"/>
      <c r="E44" s="43"/>
      <c r="F44" s="43"/>
      <c r="G44" s="42"/>
      <c r="H44" s="44"/>
      <c r="I44" s="45"/>
      <c r="J44" s="42"/>
      <c r="K44" s="42"/>
      <c r="L44" s="42"/>
      <c r="M44" s="42"/>
      <c r="N44" s="42">
        <f t="shared" ca="1" si="2"/>
        <v>126</v>
      </c>
      <c r="O44" s="42" t="str">
        <f t="shared" ca="1" si="3"/>
        <v>OK</v>
      </c>
      <c r="P44" s="42"/>
    </row>
    <row r="45" spans="1:16" x14ac:dyDescent="0.25">
      <c r="A45" s="42"/>
      <c r="B45" s="42"/>
      <c r="C45" s="42"/>
      <c r="D45" s="42"/>
      <c r="E45" s="43"/>
      <c r="F45" s="43"/>
      <c r="G45" s="42"/>
      <c r="H45" s="44"/>
      <c r="I45" s="45"/>
      <c r="J45" s="42"/>
      <c r="K45" s="42"/>
      <c r="L45" s="42"/>
      <c r="M45" s="42"/>
      <c r="N45" s="42">
        <f t="shared" ca="1" si="2"/>
        <v>126</v>
      </c>
      <c r="O45" s="42" t="str">
        <f t="shared" ca="1" si="3"/>
        <v>OK</v>
      </c>
      <c r="P45" s="42"/>
    </row>
    <row r="46" spans="1:16" x14ac:dyDescent="0.25">
      <c r="A46" s="42"/>
      <c r="B46" s="42"/>
      <c r="C46" s="42"/>
      <c r="D46" s="42"/>
      <c r="E46" s="43"/>
      <c r="F46" s="43"/>
      <c r="G46" s="42"/>
      <c r="H46" s="44"/>
      <c r="I46" s="45"/>
      <c r="J46" s="42"/>
      <c r="K46" s="42"/>
      <c r="L46" s="42"/>
      <c r="M46" s="42"/>
      <c r="N46" s="42">
        <f t="shared" ca="1" si="2"/>
        <v>126</v>
      </c>
      <c r="O46" s="42" t="str">
        <f t="shared" ca="1" si="3"/>
        <v>OK</v>
      </c>
      <c r="P46" s="42"/>
    </row>
    <row r="47" spans="1:16" x14ac:dyDescent="0.25">
      <c r="A47" s="42"/>
      <c r="B47" s="42"/>
      <c r="C47" s="42"/>
      <c r="D47" s="42"/>
      <c r="E47" s="43"/>
      <c r="F47" s="43"/>
      <c r="G47" s="42"/>
      <c r="H47" s="44"/>
      <c r="I47" s="45"/>
      <c r="J47" s="42"/>
      <c r="K47" s="42"/>
      <c r="L47" s="42"/>
      <c r="M47" s="42"/>
      <c r="N47" s="42">
        <f t="shared" ca="1" si="2"/>
        <v>126</v>
      </c>
      <c r="O47" s="42" t="str">
        <f t="shared" ca="1" si="3"/>
        <v>OK</v>
      </c>
      <c r="P47" s="42"/>
    </row>
    <row r="48" spans="1:16" x14ac:dyDescent="0.25">
      <c r="A48" s="42"/>
      <c r="B48" s="42"/>
      <c r="C48" s="42"/>
      <c r="D48" s="42"/>
      <c r="E48" s="43"/>
      <c r="F48" s="43"/>
      <c r="G48" s="42"/>
      <c r="H48" s="44"/>
      <c r="I48" s="45"/>
      <c r="J48" s="42"/>
      <c r="K48" s="42"/>
      <c r="L48" s="42"/>
      <c r="M48" s="42"/>
      <c r="N48" s="42">
        <f t="shared" ca="1" si="2"/>
        <v>126</v>
      </c>
      <c r="O48" s="42" t="str">
        <f t="shared" ca="1" si="3"/>
        <v>OK</v>
      </c>
      <c r="P48" s="42"/>
    </row>
    <row r="49" spans="1:16" x14ac:dyDescent="0.25">
      <c r="A49" s="42"/>
      <c r="B49" s="42"/>
      <c r="C49" s="42"/>
      <c r="D49" s="42"/>
      <c r="E49" s="43"/>
      <c r="F49" s="43"/>
      <c r="G49" s="42"/>
      <c r="H49" s="44"/>
      <c r="I49" s="45"/>
      <c r="J49" s="42"/>
      <c r="K49" s="42"/>
      <c r="L49" s="42"/>
      <c r="M49" s="42"/>
      <c r="N49" s="42">
        <f t="shared" ca="1" si="2"/>
        <v>126</v>
      </c>
      <c r="O49" s="42" t="str">
        <f t="shared" ca="1" si="3"/>
        <v>OK</v>
      </c>
      <c r="P49" s="42"/>
    </row>
    <row r="50" spans="1:16" x14ac:dyDescent="0.25">
      <c r="A50" s="42"/>
      <c r="B50" s="42"/>
      <c r="C50" s="42"/>
      <c r="D50" s="42"/>
      <c r="E50" s="43"/>
      <c r="F50" s="43"/>
      <c r="G50" s="42"/>
      <c r="H50" s="44"/>
      <c r="I50" s="45"/>
      <c r="J50" s="42"/>
      <c r="K50" s="42"/>
      <c r="L50" s="42"/>
      <c r="M50" s="42"/>
      <c r="N50" s="42">
        <f t="shared" ca="1" si="2"/>
        <v>126</v>
      </c>
      <c r="O50" s="42" t="str">
        <f t="shared" ca="1" si="3"/>
        <v>OK</v>
      </c>
      <c r="P50" s="42"/>
    </row>
    <row r="51" spans="1:16" x14ac:dyDescent="0.25">
      <c r="A51" s="42"/>
      <c r="B51" s="42"/>
      <c r="C51" s="42"/>
      <c r="D51" s="42"/>
      <c r="E51" s="43"/>
      <c r="F51" s="43"/>
      <c r="G51" s="42"/>
      <c r="H51" s="44"/>
      <c r="I51" s="45"/>
      <c r="J51" s="42"/>
      <c r="K51" s="42"/>
      <c r="L51" s="42"/>
      <c r="M51" s="42"/>
      <c r="N51" s="42">
        <f t="shared" ca="1" si="2"/>
        <v>126</v>
      </c>
      <c r="O51" s="42" t="str">
        <f t="shared" ca="1" si="3"/>
        <v>OK</v>
      </c>
      <c r="P51" s="42"/>
    </row>
    <row r="52" spans="1:16" x14ac:dyDescent="0.25">
      <c r="A52" s="42"/>
      <c r="B52" s="42"/>
      <c r="C52" s="42"/>
      <c r="D52" s="42"/>
      <c r="E52" s="43"/>
      <c r="F52" s="43"/>
      <c r="G52" s="42"/>
      <c r="H52" s="44"/>
      <c r="I52" s="45"/>
      <c r="J52" s="42"/>
      <c r="K52" s="42"/>
      <c r="L52" s="42"/>
      <c r="M52" s="42"/>
      <c r="N52" s="42">
        <f t="shared" ca="1" si="2"/>
        <v>126</v>
      </c>
      <c r="O52" s="42" t="str">
        <f t="shared" ca="1" si="3"/>
        <v>OK</v>
      </c>
      <c r="P52" s="42"/>
    </row>
    <row r="53" spans="1:16" x14ac:dyDescent="0.25">
      <c r="A53" s="42"/>
      <c r="B53" s="42"/>
      <c r="C53" s="42"/>
      <c r="D53" s="42"/>
      <c r="E53" s="43"/>
      <c r="F53" s="43"/>
      <c r="G53" s="42"/>
      <c r="H53" s="44"/>
      <c r="I53" s="45"/>
      <c r="J53" s="42"/>
      <c r="K53" s="42"/>
      <c r="L53" s="42"/>
      <c r="M53" s="42"/>
      <c r="N53" s="42">
        <f t="shared" ca="1" si="2"/>
        <v>126</v>
      </c>
      <c r="O53" s="42" t="str">
        <f t="shared" ca="1" si="3"/>
        <v>OK</v>
      </c>
      <c r="P53" s="42"/>
    </row>
    <row r="54" spans="1:16" x14ac:dyDescent="0.25">
      <c r="A54" s="42"/>
      <c r="B54" s="42"/>
      <c r="C54" s="42"/>
      <c r="D54" s="42"/>
      <c r="E54" s="43"/>
      <c r="F54" s="43"/>
      <c r="G54" s="42"/>
      <c r="H54" s="44"/>
      <c r="I54" s="45"/>
      <c r="J54" s="42"/>
      <c r="K54" s="42"/>
      <c r="L54" s="42"/>
      <c r="M54" s="42"/>
      <c r="N54" s="42">
        <f t="shared" ca="1" si="2"/>
        <v>126</v>
      </c>
      <c r="O54" s="42" t="str">
        <f t="shared" ca="1" si="3"/>
        <v>OK</v>
      </c>
      <c r="P54" s="42"/>
    </row>
    <row r="55" spans="1:16" x14ac:dyDescent="0.25">
      <c r="A55" s="42"/>
      <c r="B55" s="42"/>
      <c r="C55" s="42"/>
      <c r="D55" s="42"/>
      <c r="E55" s="43"/>
      <c r="F55" s="43"/>
      <c r="G55" s="42"/>
      <c r="H55" s="44"/>
      <c r="I55" s="45"/>
      <c r="J55" s="42"/>
      <c r="K55" s="42"/>
      <c r="L55" s="42"/>
      <c r="M55" s="42"/>
      <c r="N55" s="42">
        <f t="shared" ca="1" si="2"/>
        <v>126</v>
      </c>
      <c r="O55" s="42" t="str">
        <f t="shared" ca="1" si="3"/>
        <v>OK</v>
      </c>
      <c r="P55" s="42"/>
    </row>
    <row r="56" spans="1:16" x14ac:dyDescent="0.25">
      <c r="A56" s="42"/>
      <c r="B56" s="42"/>
      <c r="C56" s="42"/>
      <c r="D56" s="42"/>
      <c r="E56" s="43"/>
      <c r="F56" s="43"/>
      <c r="G56" s="42"/>
      <c r="H56" s="44"/>
      <c r="I56" s="45"/>
      <c r="J56" s="42"/>
      <c r="K56" s="42"/>
      <c r="L56" s="42"/>
      <c r="M56" s="42"/>
      <c r="N56" s="42">
        <f t="shared" ca="1" si="2"/>
        <v>126</v>
      </c>
      <c r="O56" s="42" t="str">
        <f t="shared" ca="1" si="3"/>
        <v>OK</v>
      </c>
      <c r="P56" s="42"/>
    </row>
    <row r="57" spans="1:16" x14ac:dyDescent="0.25">
      <c r="A57" s="42"/>
      <c r="B57" s="42"/>
      <c r="C57" s="42"/>
      <c r="D57" s="42"/>
      <c r="E57" s="43"/>
      <c r="F57" s="43"/>
      <c r="G57" s="42"/>
      <c r="H57" s="44"/>
      <c r="I57" s="45"/>
      <c r="J57" s="42"/>
      <c r="K57" s="42"/>
      <c r="L57" s="42"/>
      <c r="M57" s="42"/>
      <c r="N57" s="42">
        <f t="shared" ca="1" si="2"/>
        <v>126</v>
      </c>
      <c r="O57" s="42" t="str">
        <f t="shared" ca="1" si="3"/>
        <v>OK</v>
      </c>
      <c r="P57" s="42"/>
    </row>
    <row r="58" spans="1:16" x14ac:dyDescent="0.25">
      <c r="A58" s="42"/>
      <c r="B58" s="42"/>
      <c r="C58" s="42"/>
      <c r="D58" s="42"/>
      <c r="E58" s="43"/>
      <c r="F58" s="43"/>
      <c r="G58" s="42"/>
      <c r="H58" s="44"/>
      <c r="I58" s="45"/>
      <c r="J58" s="42"/>
      <c r="K58" s="42"/>
      <c r="L58" s="42"/>
      <c r="M58" s="42"/>
      <c r="N58" s="42">
        <f t="shared" ca="1" si="2"/>
        <v>126</v>
      </c>
      <c r="O58" s="42" t="str">
        <f t="shared" ca="1" si="3"/>
        <v>OK</v>
      </c>
      <c r="P58" s="42"/>
    </row>
    <row r="59" spans="1:16" x14ac:dyDescent="0.25">
      <c r="A59" s="42"/>
      <c r="B59" s="42"/>
      <c r="C59" s="42"/>
      <c r="D59" s="42"/>
      <c r="E59" s="43"/>
      <c r="F59" s="43"/>
      <c r="G59" s="42"/>
      <c r="H59" s="44"/>
      <c r="I59" s="45"/>
      <c r="J59" s="42"/>
      <c r="K59" s="42"/>
      <c r="L59" s="42"/>
      <c r="M59" s="42"/>
      <c r="N59" s="42">
        <f t="shared" ca="1" si="2"/>
        <v>126</v>
      </c>
      <c r="O59" s="42" t="str">
        <f t="shared" ca="1" si="3"/>
        <v>OK</v>
      </c>
      <c r="P59" s="42"/>
    </row>
    <row r="60" spans="1:16" x14ac:dyDescent="0.25">
      <c r="A60" s="42"/>
      <c r="B60" s="42"/>
      <c r="C60" s="42"/>
      <c r="D60" s="42"/>
      <c r="E60" s="43"/>
      <c r="F60" s="43"/>
      <c r="G60" s="42"/>
      <c r="H60" s="44"/>
      <c r="I60" s="45"/>
      <c r="J60" s="42"/>
      <c r="K60" s="42"/>
      <c r="L60" s="42"/>
      <c r="M60" s="42"/>
      <c r="N60" s="42">
        <f t="shared" ca="1" si="2"/>
        <v>126</v>
      </c>
      <c r="O60" s="42" t="str">
        <f t="shared" ca="1" si="3"/>
        <v>OK</v>
      </c>
      <c r="P60" s="42"/>
    </row>
    <row r="61" spans="1:16" x14ac:dyDescent="0.25">
      <c r="A61" s="42"/>
      <c r="B61" s="42"/>
      <c r="C61" s="42"/>
      <c r="D61" s="42"/>
      <c r="E61" s="43"/>
      <c r="F61" s="43"/>
      <c r="G61" s="42"/>
      <c r="H61" s="44"/>
      <c r="I61" s="45"/>
      <c r="J61" s="42"/>
      <c r="K61" s="42"/>
      <c r="L61" s="42"/>
      <c r="M61" s="42"/>
      <c r="N61" s="42">
        <f t="shared" ca="1" si="2"/>
        <v>126</v>
      </c>
      <c r="O61" s="42" t="str">
        <f t="shared" ca="1" si="3"/>
        <v>OK</v>
      </c>
      <c r="P61" s="42"/>
    </row>
    <row r="62" spans="1:16" x14ac:dyDescent="0.25">
      <c r="A62" s="42"/>
      <c r="B62" s="42"/>
      <c r="C62" s="42"/>
      <c r="D62" s="42"/>
      <c r="E62" s="43"/>
      <c r="F62" s="43"/>
      <c r="G62" s="42"/>
      <c r="H62" s="44"/>
      <c r="I62" s="45"/>
      <c r="J62" s="42"/>
      <c r="K62" s="42"/>
      <c r="L62" s="42"/>
      <c r="M62" s="42"/>
      <c r="N62" s="42">
        <f t="shared" ca="1" si="2"/>
        <v>126</v>
      </c>
      <c r="O62" s="42" t="str">
        <f t="shared" ca="1" si="3"/>
        <v>OK</v>
      </c>
      <c r="P62" s="42"/>
    </row>
    <row r="63" spans="1:16" x14ac:dyDescent="0.25">
      <c r="A63" s="42"/>
      <c r="B63" s="42"/>
      <c r="C63" s="42"/>
      <c r="D63" s="42"/>
      <c r="E63" s="43"/>
      <c r="F63" s="43"/>
      <c r="G63" s="42"/>
      <c r="H63" s="44"/>
      <c r="I63" s="45"/>
      <c r="J63" s="42"/>
      <c r="K63" s="42"/>
      <c r="L63" s="42"/>
      <c r="M63" s="42"/>
      <c r="N63" s="42">
        <f t="shared" ca="1" si="2"/>
        <v>126</v>
      </c>
      <c r="O63" s="42" t="str">
        <f t="shared" ca="1" si="3"/>
        <v>OK</v>
      </c>
      <c r="P63" s="42"/>
    </row>
    <row r="64" spans="1:16" x14ac:dyDescent="0.25">
      <c r="A64" s="42"/>
      <c r="B64" s="42"/>
      <c r="C64" s="42"/>
      <c r="D64" s="42"/>
      <c r="E64" s="43"/>
      <c r="F64" s="43"/>
      <c r="G64" s="42"/>
      <c r="H64" s="44"/>
      <c r="I64" s="45"/>
      <c r="J64" s="42"/>
      <c r="K64" s="42"/>
      <c r="L64" s="42"/>
      <c r="M64" s="42"/>
      <c r="N64" s="42">
        <f t="shared" ca="1" si="2"/>
        <v>126</v>
      </c>
      <c r="O64" s="42" t="str">
        <f t="shared" ca="1" si="3"/>
        <v>OK</v>
      </c>
      <c r="P64" s="42"/>
    </row>
    <row r="65" spans="1:16" x14ac:dyDescent="0.25">
      <c r="A65" s="42"/>
      <c r="B65" s="42"/>
      <c r="C65" s="42"/>
      <c r="D65" s="42"/>
      <c r="E65" s="43"/>
      <c r="F65" s="43"/>
      <c r="G65" s="42"/>
      <c r="H65" s="44"/>
      <c r="I65" s="45"/>
      <c r="J65" s="42"/>
      <c r="K65" s="42"/>
      <c r="L65" s="42"/>
      <c r="M65" s="42"/>
      <c r="N65" s="42">
        <f t="shared" ca="1" si="2"/>
        <v>126</v>
      </c>
      <c r="O65" s="42" t="str">
        <f t="shared" ca="1" si="3"/>
        <v>OK</v>
      </c>
      <c r="P65" s="42"/>
    </row>
    <row r="66" spans="1:16" x14ac:dyDescent="0.25">
      <c r="A66" s="42"/>
      <c r="B66" s="42"/>
      <c r="C66" s="42"/>
      <c r="D66" s="42"/>
      <c r="E66" s="43"/>
      <c r="F66" s="43"/>
      <c r="G66" s="42"/>
      <c r="H66" s="44"/>
      <c r="I66" s="45"/>
      <c r="J66" s="42"/>
      <c r="K66" s="42"/>
      <c r="L66" s="42"/>
      <c r="M66" s="42"/>
      <c r="N66" s="42">
        <f t="shared" ca="1" si="2"/>
        <v>126</v>
      </c>
      <c r="O66" s="42" t="str">
        <f t="shared" ca="1" si="3"/>
        <v>OK</v>
      </c>
      <c r="P66" s="42"/>
    </row>
    <row r="67" spans="1:16" x14ac:dyDescent="0.25">
      <c r="A67" s="42"/>
      <c r="B67" s="42"/>
      <c r="C67" s="42"/>
      <c r="D67" s="42"/>
      <c r="E67" s="43"/>
      <c r="F67" s="43"/>
      <c r="G67" s="42"/>
      <c r="H67" s="44"/>
      <c r="I67" s="45"/>
      <c r="J67" s="42"/>
      <c r="K67" s="42"/>
      <c r="L67" s="42"/>
      <c r="M67" s="42"/>
      <c r="N67" s="42">
        <f t="shared" ca="1" si="2"/>
        <v>126</v>
      </c>
      <c r="O67" s="42" t="str">
        <f t="shared" ca="1" si="3"/>
        <v>OK</v>
      </c>
      <c r="P67" s="42"/>
    </row>
    <row r="68" spans="1:16" x14ac:dyDescent="0.25">
      <c r="A68" s="42"/>
      <c r="B68" s="42"/>
      <c r="C68" s="42"/>
      <c r="D68" s="42"/>
      <c r="E68" s="43"/>
      <c r="F68" s="43"/>
      <c r="G68" s="42"/>
      <c r="H68" s="44"/>
      <c r="I68" s="45"/>
      <c r="J68" s="42"/>
      <c r="K68" s="42"/>
      <c r="L68" s="42"/>
      <c r="M68" s="42"/>
      <c r="N68" s="42">
        <f t="shared" ca="1" si="2"/>
        <v>126</v>
      </c>
      <c r="O68" s="42" t="str">
        <f t="shared" ca="1" si="3"/>
        <v>OK</v>
      </c>
      <c r="P68" s="42"/>
    </row>
    <row r="69" spans="1:16" x14ac:dyDescent="0.25">
      <c r="A69" s="42"/>
      <c r="B69" s="42"/>
      <c r="C69" s="42"/>
      <c r="D69" s="42"/>
      <c r="E69" s="43"/>
      <c r="F69" s="43"/>
      <c r="G69" s="42"/>
      <c r="H69" s="44"/>
      <c r="I69" s="45"/>
      <c r="J69" s="42"/>
      <c r="K69" s="42"/>
      <c r="L69" s="42"/>
      <c r="M69" s="42"/>
      <c r="N69" s="42">
        <f t="shared" ca="1" si="2"/>
        <v>126</v>
      </c>
      <c r="O69" s="42" t="str">
        <f t="shared" ca="1" si="3"/>
        <v>OK</v>
      </c>
      <c r="P69" s="42"/>
    </row>
    <row r="70" spans="1:16" x14ac:dyDescent="0.25">
      <c r="A70" s="42"/>
      <c r="B70" s="42"/>
      <c r="C70" s="42"/>
      <c r="D70" s="42"/>
      <c r="E70" s="43"/>
      <c r="F70" s="43"/>
      <c r="G70" s="42"/>
      <c r="H70" s="44"/>
      <c r="I70" s="45"/>
      <c r="J70" s="42"/>
      <c r="K70" s="42"/>
      <c r="L70" s="42"/>
      <c r="M70" s="42"/>
      <c r="N70" s="42">
        <f t="shared" ca="1" si="2"/>
        <v>126</v>
      </c>
      <c r="O70" s="42" t="str">
        <f t="shared" ca="1" si="3"/>
        <v>OK</v>
      </c>
      <c r="P70" s="42"/>
    </row>
    <row r="71" spans="1:16" x14ac:dyDescent="0.25">
      <c r="A71" s="42"/>
      <c r="B71" s="42"/>
      <c r="C71" s="42"/>
      <c r="D71" s="42"/>
      <c r="E71" s="43"/>
      <c r="F71" s="43"/>
      <c r="G71" s="42"/>
      <c r="H71" s="44"/>
      <c r="I71" s="45"/>
      <c r="J71" s="42"/>
      <c r="K71" s="42"/>
      <c r="L71" s="42"/>
      <c r="M71" s="42"/>
      <c r="N71" s="42">
        <f t="shared" ref="N71:N106" ca="1" si="4">IFERROR(INT((TODAY()-F71)/365.25),"")</f>
        <v>126</v>
      </c>
      <c r="O71" s="42" t="str">
        <f t="shared" ref="O71:O102" ca="1" si="5">IF(N71="","",IF(N71&lt;18,"⚠ JArbSchG","OK"))</f>
        <v>OK</v>
      </c>
      <c r="P71" s="42"/>
    </row>
    <row r="72" spans="1:16" x14ac:dyDescent="0.25">
      <c r="A72" s="42"/>
      <c r="B72" s="42"/>
      <c r="C72" s="42"/>
      <c r="D72" s="42"/>
      <c r="E72" s="43"/>
      <c r="F72" s="43"/>
      <c r="G72" s="42"/>
      <c r="H72" s="44"/>
      <c r="I72" s="45"/>
      <c r="J72" s="42"/>
      <c r="K72" s="42"/>
      <c r="L72" s="42"/>
      <c r="M72" s="42"/>
      <c r="N72" s="42">
        <f t="shared" ca="1" si="4"/>
        <v>126</v>
      </c>
      <c r="O72" s="42" t="str">
        <f t="shared" ca="1" si="5"/>
        <v>OK</v>
      </c>
      <c r="P72" s="42"/>
    </row>
    <row r="73" spans="1:16" x14ac:dyDescent="0.25">
      <c r="A73" s="42"/>
      <c r="B73" s="42"/>
      <c r="C73" s="42"/>
      <c r="D73" s="42"/>
      <c r="E73" s="43"/>
      <c r="F73" s="43"/>
      <c r="G73" s="42"/>
      <c r="H73" s="44"/>
      <c r="I73" s="45"/>
      <c r="J73" s="42"/>
      <c r="K73" s="42"/>
      <c r="L73" s="42"/>
      <c r="M73" s="42"/>
      <c r="N73" s="42">
        <f t="shared" ca="1" si="4"/>
        <v>126</v>
      </c>
      <c r="O73" s="42" t="str">
        <f t="shared" ca="1" si="5"/>
        <v>OK</v>
      </c>
      <c r="P73" s="42"/>
    </row>
    <row r="74" spans="1:16" x14ac:dyDescent="0.25">
      <c r="A74" s="42"/>
      <c r="B74" s="42"/>
      <c r="C74" s="42"/>
      <c r="D74" s="42"/>
      <c r="E74" s="43"/>
      <c r="F74" s="43"/>
      <c r="G74" s="42"/>
      <c r="H74" s="44"/>
      <c r="I74" s="45"/>
      <c r="J74" s="42"/>
      <c r="K74" s="42"/>
      <c r="L74" s="42"/>
      <c r="M74" s="42"/>
      <c r="N74" s="42">
        <f t="shared" ca="1" si="4"/>
        <v>126</v>
      </c>
      <c r="O74" s="42" t="str">
        <f t="shared" ca="1" si="5"/>
        <v>OK</v>
      </c>
      <c r="P74" s="42"/>
    </row>
    <row r="75" spans="1:16" x14ac:dyDescent="0.25">
      <c r="A75" s="42"/>
      <c r="B75" s="42"/>
      <c r="C75" s="42"/>
      <c r="D75" s="42"/>
      <c r="E75" s="43"/>
      <c r="F75" s="43"/>
      <c r="G75" s="42"/>
      <c r="H75" s="44"/>
      <c r="I75" s="45"/>
      <c r="J75" s="42"/>
      <c r="K75" s="42"/>
      <c r="L75" s="42"/>
      <c r="M75" s="42"/>
      <c r="N75" s="42">
        <f t="shared" ca="1" si="4"/>
        <v>126</v>
      </c>
      <c r="O75" s="42" t="str">
        <f t="shared" ca="1" si="5"/>
        <v>OK</v>
      </c>
      <c r="P75" s="42"/>
    </row>
    <row r="76" spans="1:16" x14ac:dyDescent="0.25">
      <c r="A76" s="42"/>
      <c r="B76" s="42"/>
      <c r="C76" s="42"/>
      <c r="D76" s="42"/>
      <c r="E76" s="43"/>
      <c r="F76" s="43"/>
      <c r="G76" s="42"/>
      <c r="H76" s="44"/>
      <c r="I76" s="45"/>
      <c r="J76" s="42"/>
      <c r="K76" s="42"/>
      <c r="L76" s="42"/>
      <c r="M76" s="42"/>
      <c r="N76" s="42">
        <f t="shared" ca="1" si="4"/>
        <v>126</v>
      </c>
      <c r="O76" s="42" t="str">
        <f t="shared" ca="1" si="5"/>
        <v>OK</v>
      </c>
      <c r="P76" s="42"/>
    </row>
    <row r="77" spans="1:16" x14ac:dyDescent="0.25">
      <c r="A77" s="42"/>
      <c r="B77" s="42"/>
      <c r="C77" s="42"/>
      <c r="D77" s="42"/>
      <c r="E77" s="43"/>
      <c r="F77" s="43"/>
      <c r="G77" s="42"/>
      <c r="H77" s="44"/>
      <c r="I77" s="45"/>
      <c r="J77" s="42"/>
      <c r="K77" s="42"/>
      <c r="L77" s="42"/>
      <c r="M77" s="42"/>
      <c r="N77" s="42">
        <f t="shared" ca="1" si="4"/>
        <v>126</v>
      </c>
      <c r="O77" s="42" t="str">
        <f t="shared" ca="1" si="5"/>
        <v>OK</v>
      </c>
      <c r="P77" s="42"/>
    </row>
    <row r="78" spans="1:16" x14ac:dyDescent="0.25">
      <c r="A78" s="42"/>
      <c r="B78" s="42"/>
      <c r="C78" s="42"/>
      <c r="D78" s="42"/>
      <c r="E78" s="43"/>
      <c r="F78" s="43"/>
      <c r="G78" s="42"/>
      <c r="H78" s="44"/>
      <c r="I78" s="45"/>
      <c r="J78" s="42"/>
      <c r="K78" s="42"/>
      <c r="L78" s="42"/>
      <c r="M78" s="42"/>
      <c r="N78" s="42">
        <f t="shared" ca="1" si="4"/>
        <v>126</v>
      </c>
      <c r="O78" s="42" t="str">
        <f t="shared" ca="1" si="5"/>
        <v>OK</v>
      </c>
      <c r="P78" s="42"/>
    </row>
    <row r="79" spans="1:16" x14ac:dyDescent="0.25">
      <c r="A79" s="42"/>
      <c r="B79" s="42"/>
      <c r="C79" s="42"/>
      <c r="D79" s="42"/>
      <c r="E79" s="43"/>
      <c r="F79" s="43"/>
      <c r="G79" s="42"/>
      <c r="H79" s="44"/>
      <c r="I79" s="45"/>
      <c r="J79" s="42"/>
      <c r="K79" s="42"/>
      <c r="L79" s="42"/>
      <c r="M79" s="42"/>
      <c r="N79" s="42">
        <f t="shared" ca="1" si="4"/>
        <v>126</v>
      </c>
      <c r="O79" s="42" t="str">
        <f t="shared" ca="1" si="5"/>
        <v>OK</v>
      </c>
      <c r="P79" s="42"/>
    </row>
    <row r="80" spans="1:16" x14ac:dyDescent="0.25">
      <c r="A80" s="42"/>
      <c r="B80" s="42"/>
      <c r="C80" s="42"/>
      <c r="D80" s="42"/>
      <c r="E80" s="43"/>
      <c r="F80" s="43"/>
      <c r="G80" s="42"/>
      <c r="H80" s="44"/>
      <c r="I80" s="45"/>
      <c r="J80" s="42"/>
      <c r="K80" s="42"/>
      <c r="L80" s="42"/>
      <c r="M80" s="42"/>
      <c r="N80" s="42">
        <f t="shared" ca="1" si="4"/>
        <v>126</v>
      </c>
      <c r="O80" s="42" t="str">
        <f t="shared" ca="1" si="5"/>
        <v>OK</v>
      </c>
      <c r="P80" s="42"/>
    </row>
    <row r="81" spans="1:16" x14ac:dyDescent="0.25">
      <c r="A81" s="42"/>
      <c r="B81" s="42"/>
      <c r="C81" s="42"/>
      <c r="D81" s="42"/>
      <c r="E81" s="43"/>
      <c r="F81" s="43"/>
      <c r="G81" s="42"/>
      <c r="H81" s="44"/>
      <c r="I81" s="45"/>
      <c r="J81" s="42"/>
      <c r="K81" s="42"/>
      <c r="L81" s="42"/>
      <c r="M81" s="42"/>
      <c r="N81" s="42">
        <f t="shared" ca="1" si="4"/>
        <v>126</v>
      </c>
      <c r="O81" s="42" t="str">
        <f t="shared" ca="1" si="5"/>
        <v>OK</v>
      </c>
      <c r="P81" s="42"/>
    </row>
    <row r="82" spans="1:16" x14ac:dyDescent="0.25">
      <c r="A82" s="42"/>
      <c r="B82" s="42"/>
      <c r="C82" s="42"/>
      <c r="D82" s="42"/>
      <c r="E82" s="43"/>
      <c r="F82" s="43"/>
      <c r="G82" s="42"/>
      <c r="H82" s="44"/>
      <c r="I82" s="45"/>
      <c r="J82" s="42"/>
      <c r="K82" s="42"/>
      <c r="L82" s="42"/>
      <c r="M82" s="42"/>
      <c r="N82" s="42">
        <f t="shared" ca="1" si="4"/>
        <v>126</v>
      </c>
      <c r="O82" s="42" t="str">
        <f t="shared" ca="1" si="5"/>
        <v>OK</v>
      </c>
      <c r="P82" s="42"/>
    </row>
    <row r="83" spans="1:16" x14ac:dyDescent="0.25">
      <c r="A83" s="42"/>
      <c r="B83" s="42"/>
      <c r="C83" s="42"/>
      <c r="D83" s="42"/>
      <c r="E83" s="43"/>
      <c r="F83" s="43"/>
      <c r="G83" s="42"/>
      <c r="H83" s="44"/>
      <c r="I83" s="45"/>
      <c r="J83" s="42"/>
      <c r="K83" s="42"/>
      <c r="L83" s="42"/>
      <c r="M83" s="42"/>
      <c r="N83" s="42">
        <f t="shared" ca="1" si="4"/>
        <v>126</v>
      </c>
      <c r="O83" s="42" t="str">
        <f t="shared" ca="1" si="5"/>
        <v>OK</v>
      </c>
      <c r="P83" s="42"/>
    </row>
    <row r="84" spans="1:16" x14ac:dyDescent="0.25">
      <c r="A84" s="42"/>
      <c r="B84" s="42"/>
      <c r="C84" s="42"/>
      <c r="D84" s="42"/>
      <c r="E84" s="43"/>
      <c r="F84" s="43"/>
      <c r="G84" s="42"/>
      <c r="H84" s="44"/>
      <c r="I84" s="45"/>
      <c r="J84" s="42"/>
      <c r="K84" s="42"/>
      <c r="L84" s="42"/>
      <c r="M84" s="42"/>
      <c r="N84" s="42">
        <f t="shared" ca="1" si="4"/>
        <v>126</v>
      </c>
      <c r="O84" s="42" t="str">
        <f t="shared" ca="1" si="5"/>
        <v>OK</v>
      </c>
      <c r="P84" s="42"/>
    </row>
    <row r="85" spans="1:16" x14ac:dyDescent="0.25">
      <c r="A85" s="42"/>
      <c r="B85" s="42"/>
      <c r="C85" s="42"/>
      <c r="D85" s="42"/>
      <c r="E85" s="43"/>
      <c r="F85" s="43"/>
      <c r="G85" s="42"/>
      <c r="H85" s="44"/>
      <c r="I85" s="45"/>
      <c r="J85" s="42"/>
      <c r="K85" s="42"/>
      <c r="L85" s="42"/>
      <c r="M85" s="42"/>
      <c r="N85" s="42">
        <f t="shared" ca="1" si="4"/>
        <v>126</v>
      </c>
      <c r="O85" s="42" t="str">
        <f t="shared" ca="1" si="5"/>
        <v>OK</v>
      </c>
      <c r="P85" s="42"/>
    </row>
    <row r="86" spans="1:16" x14ac:dyDescent="0.25">
      <c r="A86" s="42"/>
      <c r="B86" s="42"/>
      <c r="C86" s="42"/>
      <c r="D86" s="42"/>
      <c r="E86" s="43"/>
      <c r="F86" s="43"/>
      <c r="G86" s="42"/>
      <c r="H86" s="44"/>
      <c r="I86" s="45"/>
      <c r="J86" s="42"/>
      <c r="K86" s="42"/>
      <c r="L86" s="42"/>
      <c r="M86" s="42"/>
      <c r="N86" s="42">
        <f t="shared" ca="1" si="4"/>
        <v>126</v>
      </c>
      <c r="O86" s="42" t="str">
        <f t="shared" ca="1" si="5"/>
        <v>OK</v>
      </c>
      <c r="P86" s="42"/>
    </row>
    <row r="87" spans="1:16" x14ac:dyDescent="0.25">
      <c r="A87" s="42"/>
      <c r="B87" s="42"/>
      <c r="C87" s="42"/>
      <c r="D87" s="42"/>
      <c r="E87" s="43"/>
      <c r="F87" s="43"/>
      <c r="G87" s="42"/>
      <c r="H87" s="44"/>
      <c r="I87" s="45"/>
      <c r="J87" s="42"/>
      <c r="K87" s="42"/>
      <c r="L87" s="42"/>
      <c r="M87" s="42"/>
      <c r="N87" s="42">
        <f t="shared" ca="1" si="4"/>
        <v>126</v>
      </c>
      <c r="O87" s="42" t="str">
        <f t="shared" ca="1" si="5"/>
        <v>OK</v>
      </c>
      <c r="P87" s="42"/>
    </row>
    <row r="88" spans="1:16" x14ac:dyDescent="0.25">
      <c r="A88" s="42"/>
      <c r="B88" s="42"/>
      <c r="C88" s="42"/>
      <c r="D88" s="42"/>
      <c r="E88" s="43"/>
      <c r="F88" s="43"/>
      <c r="G88" s="42"/>
      <c r="H88" s="44"/>
      <c r="I88" s="45"/>
      <c r="J88" s="42"/>
      <c r="K88" s="42"/>
      <c r="L88" s="42"/>
      <c r="M88" s="42"/>
      <c r="N88" s="42">
        <f t="shared" ca="1" si="4"/>
        <v>126</v>
      </c>
      <c r="O88" s="42" t="str">
        <f t="shared" ca="1" si="5"/>
        <v>OK</v>
      </c>
      <c r="P88" s="42"/>
    </row>
    <row r="89" spans="1:16" x14ac:dyDescent="0.25">
      <c r="A89" s="42"/>
      <c r="B89" s="42"/>
      <c r="C89" s="42"/>
      <c r="D89" s="42"/>
      <c r="E89" s="43"/>
      <c r="F89" s="43"/>
      <c r="G89" s="42"/>
      <c r="H89" s="44"/>
      <c r="I89" s="45"/>
      <c r="J89" s="42"/>
      <c r="K89" s="42"/>
      <c r="L89" s="42"/>
      <c r="M89" s="42"/>
      <c r="N89" s="42">
        <f t="shared" ca="1" si="4"/>
        <v>126</v>
      </c>
      <c r="O89" s="42" t="str">
        <f t="shared" ca="1" si="5"/>
        <v>OK</v>
      </c>
      <c r="P89" s="42"/>
    </row>
    <row r="90" spans="1:16" x14ac:dyDescent="0.25">
      <c r="A90" s="42"/>
      <c r="B90" s="42"/>
      <c r="C90" s="42"/>
      <c r="D90" s="42"/>
      <c r="E90" s="43"/>
      <c r="F90" s="43"/>
      <c r="G90" s="42"/>
      <c r="H90" s="44"/>
      <c r="I90" s="45"/>
      <c r="J90" s="42"/>
      <c r="K90" s="42"/>
      <c r="L90" s="42"/>
      <c r="M90" s="42"/>
      <c r="N90" s="42">
        <f t="shared" ca="1" si="4"/>
        <v>126</v>
      </c>
      <c r="O90" s="42" t="str">
        <f t="shared" ca="1" si="5"/>
        <v>OK</v>
      </c>
      <c r="P90" s="42"/>
    </row>
    <row r="91" spans="1:16" x14ac:dyDescent="0.25">
      <c r="A91" s="42"/>
      <c r="B91" s="42"/>
      <c r="C91" s="42"/>
      <c r="D91" s="42"/>
      <c r="E91" s="43"/>
      <c r="F91" s="43"/>
      <c r="G91" s="42"/>
      <c r="H91" s="44"/>
      <c r="I91" s="45"/>
      <c r="J91" s="42"/>
      <c r="K91" s="42"/>
      <c r="L91" s="42"/>
      <c r="M91" s="42"/>
      <c r="N91" s="42">
        <f t="shared" ca="1" si="4"/>
        <v>126</v>
      </c>
      <c r="O91" s="42" t="str">
        <f t="shared" ca="1" si="5"/>
        <v>OK</v>
      </c>
      <c r="P91" s="42"/>
    </row>
    <row r="92" spans="1:16" x14ac:dyDescent="0.25">
      <c r="A92" s="42"/>
      <c r="B92" s="42"/>
      <c r="C92" s="42"/>
      <c r="D92" s="42"/>
      <c r="E92" s="43"/>
      <c r="F92" s="43"/>
      <c r="G92" s="42"/>
      <c r="H92" s="44"/>
      <c r="I92" s="45"/>
      <c r="J92" s="42"/>
      <c r="K92" s="42"/>
      <c r="L92" s="42"/>
      <c r="M92" s="42"/>
      <c r="N92" s="42">
        <f t="shared" ca="1" si="4"/>
        <v>126</v>
      </c>
      <c r="O92" s="42" t="str">
        <f t="shared" ca="1" si="5"/>
        <v>OK</v>
      </c>
      <c r="P92" s="42"/>
    </row>
    <row r="93" spans="1:16" x14ac:dyDescent="0.25">
      <c r="A93" s="42"/>
      <c r="B93" s="42"/>
      <c r="C93" s="42"/>
      <c r="D93" s="42"/>
      <c r="E93" s="43"/>
      <c r="F93" s="43"/>
      <c r="G93" s="42"/>
      <c r="H93" s="44"/>
      <c r="I93" s="45"/>
      <c r="J93" s="42"/>
      <c r="K93" s="42"/>
      <c r="L93" s="42"/>
      <c r="M93" s="42"/>
      <c r="N93" s="42">
        <f t="shared" ca="1" si="4"/>
        <v>126</v>
      </c>
      <c r="O93" s="42" t="str">
        <f t="shared" ca="1" si="5"/>
        <v>OK</v>
      </c>
      <c r="P93" s="42"/>
    </row>
    <row r="94" spans="1:16" x14ac:dyDescent="0.25">
      <c r="A94" s="42"/>
      <c r="B94" s="42"/>
      <c r="C94" s="42"/>
      <c r="D94" s="42"/>
      <c r="E94" s="43"/>
      <c r="F94" s="43"/>
      <c r="G94" s="42"/>
      <c r="H94" s="44"/>
      <c r="I94" s="45"/>
      <c r="J94" s="42"/>
      <c r="K94" s="42"/>
      <c r="L94" s="42"/>
      <c r="M94" s="42"/>
      <c r="N94" s="42">
        <f t="shared" ca="1" si="4"/>
        <v>126</v>
      </c>
      <c r="O94" s="42" t="str">
        <f t="shared" ca="1" si="5"/>
        <v>OK</v>
      </c>
      <c r="P94" s="42"/>
    </row>
    <row r="95" spans="1:16" x14ac:dyDescent="0.25">
      <c r="A95" s="42"/>
      <c r="B95" s="42"/>
      <c r="C95" s="42"/>
      <c r="D95" s="42"/>
      <c r="E95" s="43"/>
      <c r="F95" s="43"/>
      <c r="G95" s="42"/>
      <c r="H95" s="44"/>
      <c r="I95" s="45"/>
      <c r="J95" s="42"/>
      <c r="K95" s="42"/>
      <c r="L95" s="42"/>
      <c r="M95" s="42"/>
      <c r="N95" s="42">
        <f t="shared" ca="1" si="4"/>
        <v>126</v>
      </c>
      <c r="O95" s="42" t="str">
        <f t="shared" ca="1" si="5"/>
        <v>OK</v>
      </c>
      <c r="P95" s="42"/>
    </row>
    <row r="96" spans="1:16" x14ac:dyDescent="0.25">
      <c r="A96" s="42"/>
      <c r="B96" s="42"/>
      <c r="C96" s="42"/>
      <c r="D96" s="42"/>
      <c r="E96" s="43"/>
      <c r="F96" s="43"/>
      <c r="G96" s="42"/>
      <c r="H96" s="44"/>
      <c r="I96" s="45"/>
      <c r="J96" s="42"/>
      <c r="K96" s="42"/>
      <c r="L96" s="42"/>
      <c r="M96" s="42"/>
      <c r="N96" s="42">
        <f t="shared" ca="1" si="4"/>
        <v>126</v>
      </c>
      <c r="O96" s="42" t="str">
        <f t="shared" ca="1" si="5"/>
        <v>OK</v>
      </c>
      <c r="P96" s="42"/>
    </row>
    <row r="97" spans="1:16" x14ac:dyDescent="0.25">
      <c r="A97" s="42"/>
      <c r="B97" s="42"/>
      <c r="C97" s="42"/>
      <c r="D97" s="42"/>
      <c r="E97" s="43"/>
      <c r="F97" s="43"/>
      <c r="G97" s="42"/>
      <c r="H97" s="44"/>
      <c r="I97" s="45"/>
      <c r="J97" s="42"/>
      <c r="K97" s="42"/>
      <c r="L97" s="42"/>
      <c r="M97" s="42"/>
      <c r="N97" s="42">
        <f t="shared" ca="1" si="4"/>
        <v>126</v>
      </c>
      <c r="O97" s="42" t="str">
        <f t="shared" ca="1" si="5"/>
        <v>OK</v>
      </c>
      <c r="P97" s="42"/>
    </row>
    <row r="98" spans="1:16" x14ac:dyDescent="0.25">
      <c r="A98" s="42"/>
      <c r="B98" s="42"/>
      <c r="C98" s="42"/>
      <c r="D98" s="42"/>
      <c r="E98" s="43"/>
      <c r="F98" s="43"/>
      <c r="G98" s="42"/>
      <c r="H98" s="44"/>
      <c r="I98" s="45"/>
      <c r="J98" s="42"/>
      <c r="K98" s="42"/>
      <c r="L98" s="42"/>
      <c r="M98" s="42"/>
      <c r="N98" s="42">
        <f t="shared" ca="1" si="4"/>
        <v>126</v>
      </c>
      <c r="O98" s="42" t="str">
        <f t="shared" ca="1" si="5"/>
        <v>OK</v>
      </c>
      <c r="P98" s="42"/>
    </row>
    <row r="99" spans="1:16" x14ac:dyDescent="0.25">
      <c r="A99" s="42"/>
      <c r="B99" s="42"/>
      <c r="C99" s="42"/>
      <c r="D99" s="42"/>
      <c r="E99" s="43"/>
      <c r="F99" s="43"/>
      <c r="G99" s="42"/>
      <c r="H99" s="44"/>
      <c r="I99" s="45"/>
      <c r="J99" s="42"/>
      <c r="K99" s="42"/>
      <c r="L99" s="42"/>
      <c r="M99" s="42"/>
      <c r="N99" s="42">
        <f t="shared" ca="1" si="4"/>
        <v>126</v>
      </c>
      <c r="O99" s="42" t="str">
        <f t="shared" ca="1" si="5"/>
        <v>OK</v>
      </c>
      <c r="P99" s="42"/>
    </row>
    <row r="100" spans="1:16" x14ac:dyDescent="0.25">
      <c r="A100" s="42"/>
      <c r="B100" s="42"/>
      <c r="C100" s="42"/>
      <c r="D100" s="42"/>
      <c r="E100" s="43"/>
      <c r="F100" s="43"/>
      <c r="G100" s="42"/>
      <c r="H100" s="44"/>
      <c r="I100" s="45"/>
      <c r="J100" s="42"/>
      <c r="K100" s="42"/>
      <c r="L100" s="42"/>
      <c r="M100" s="42"/>
      <c r="N100" s="42">
        <f t="shared" ca="1" si="4"/>
        <v>126</v>
      </c>
      <c r="O100" s="42" t="str">
        <f t="shared" ca="1" si="5"/>
        <v>OK</v>
      </c>
      <c r="P100" s="42"/>
    </row>
    <row r="101" spans="1:16" x14ac:dyDescent="0.25">
      <c r="A101" s="42"/>
      <c r="B101" s="42"/>
      <c r="C101" s="42"/>
      <c r="D101" s="42"/>
      <c r="E101" s="43"/>
      <c r="F101" s="43"/>
      <c r="G101" s="42"/>
      <c r="H101" s="44"/>
      <c r="I101" s="45"/>
      <c r="J101" s="42"/>
      <c r="K101" s="42"/>
      <c r="L101" s="42"/>
      <c r="M101" s="42"/>
      <c r="N101" s="42">
        <f t="shared" ca="1" si="4"/>
        <v>126</v>
      </c>
      <c r="O101" s="42" t="str">
        <f t="shared" ca="1" si="5"/>
        <v>OK</v>
      </c>
      <c r="P101" s="42"/>
    </row>
    <row r="102" spans="1:16" x14ac:dyDescent="0.25">
      <c r="A102" s="42"/>
      <c r="B102" s="42"/>
      <c r="C102" s="42"/>
      <c r="D102" s="42"/>
      <c r="E102" s="43"/>
      <c r="F102" s="43"/>
      <c r="G102" s="42"/>
      <c r="H102" s="44"/>
      <c r="I102" s="45"/>
      <c r="J102" s="42"/>
      <c r="K102" s="42"/>
      <c r="L102" s="42"/>
      <c r="M102" s="42"/>
      <c r="N102" s="42">
        <f t="shared" ca="1" si="4"/>
        <v>126</v>
      </c>
      <c r="O102" s="42" t="str">
        <f t="shared" ca="1" si="5"/>
        <v>OK</v>
      </c>
      <c r="P102" s="42"/>
    </row>
    <row r="103" spans="1:16" x14ac:dyDescent="0.25">
      <c r="A103" s="42"/>
      <c r="B103" s="42"/>
      <c r="C103" s="42"/>
      <c r="D103" s="42"/>
      <c r="E103" s="43"/>
      <c r="F103" s="43"/>
      <c r="G103" s="42"/>
      <c r="H103" s="44"/>
      <c r="I103" s="45"/>
      <c r="J103" s="42"/>
      <c r="K103" s="42"/>
      <c r="L103" s="42"/>
      <c r="M103" s="42"/>
      <c r="N103" s="42">
        <f t="shared" ca="1" si="4"/>
        <v>126</v>
      </c>
      <c r="O103" s="42" t="str">
        <f t="shared" ref="O103:O134" ca="1" si="6">IF(N103="","",IF(N103&lt;18,"⚠ JArbSchG","OK"))</f>
        <v>OK</v>
      </c>
      <c r="P103" s="42"/>
    </row>
    <row r="104" spans="1:16" x14ac:dyDescent="0.25">
      <c r="A104" s="42"/>
      <c r="B104" s="42"/>
      <c r="C104" s="42"/>
      <c r="D104" s="42"/>
      <c r="E104" s="43"/>
      <c r="F104" s="43"/>
      <c r="G104" s="42"/>
      <c r="H104" s="44"/>
      <c r="I104" s="45"/>
      <c r="J104" s="42"/>
      <c r="K104" s="42"/>
      <c r="L104" s="42"/>
      <c r="M104" s="42"/>
      <c r="N104" s="42">
        <f t="shared" ca="1" si="4"/>
        <v>126</v>
      </c>
      <c r="O104" s="42" t="str">
        <f t="shared" ca="1" si="6"/>
        <v>OK</v>
      </c>
      <c r="P104" s="42"/>
    </row>
    <row r="105" spans="1:16" x14ac:dyDescent="0.25">
      <c r="A105" s="42"/>
      <c r="B105" s="42"/>
      <c r="C105" s="42"/>
      <c r="D105" s="42"/>
      <c r="E105" s="43"/>
      <c r="F105" s="43"/>
      <c r="G105" s="42"/>
      <c r="H105" s="44"/>
      <c r="I105" s="45"/>
      <c r="J105" s="42"/>
      <c r="K105" s="42"/>
      <c r="L105" s="42"/>
      <c r="M105" s="42"/>
      <c r="N105" s="42">
        <f t="shared" ca="1" si="4"/>
        <v>126</v>
      </c>
      <c r="O105" s="42" t="str">
        <f t="shared" ca="1" si="6"/>
        <v>OK</v>
      </c>
      <c r="P105" s="42"/>
    </row>
    <row r="106" spans="1:16" x14ac:dyDescent="0.25">
      <c r="A106" s="42"/>
      <c r="B106" s="42"/>
      <c r="C106" s="42"/>
      <c r="D106" s="42"/>
      <c r="E106" s="43"/>
      <c r="F106" s="43"/>
      <c r="G106" s="42"/>
      <c r="H106" s="44"/>
      <c r="I106" s="45"/>
      <c r="J106" s="42"/>
      <c r="K106" s="42"/>
      <c r="L106" s="42"/>
      <c r="M106" s="42"/>
      <c r="N106" s="42">
        <f t="shared" ca="1" si="4"/>
        <v>126</v>
      </c>
      <c r="O106" s="42" t="str">
        <f t="shared" ca="1" si="6"/>
        <v>OK</v>
      </c>
      <c r="P106" s="42"/>
    </row>
    <row r="112" spans="1:16" x14ac:dyDescent="0.25">
      <c r="A112" s="33" t="s">
        <v>136</v>
      </c>
    </row>
    <row r="113" spans="1:1" x14ac:dyDescent="0.25">
      <c r="A113" s="34" t="s">
        <v>137</v>
      </c>
    </row>
  </sheetData>
  <mergeCells count="1">
    <mergeCell ref="A6:P6"/>
  </mergeCells>
  <conditionalFormatting sqref="O7:O106">
    <cfRule type="expression" dxfId="30" priority="2">
      <formula>$O7="⚠ JArbSchG"</formula>
    </cfRule>
  </conditionalFormatting>
  <conditionalFormatting sqref="P7:P106">
    <cfRule type="cellIs" dxfId="29" priority="3" operator="equal">
      <formula>"Aktiv"</formula>
    </cfRule>
  </conditionalFormatting>
  <dataValidations count="4">
    <dataValidation type="list" allowBlank="1" showInputMessage="1" errorTitle="Eingabefehler" error="Ungültige Auswahl" promptTitle="Beschäftigungsart" prompt="Wählen Sie die Vertragsart." sqref="G7:G106">
      <formula1>"Vollzeit (unbefristet),Vollzeit (befristet),Teilzeit (unbefristet),Teilzeit (befristet),Minijob (603 €),Kurzfristig Beschäftigt (70 Tage),Auszubildend,Werkstudent,Praktikant,Aushilfe,Freier Mitarbeiter,Leiharbeit"</formula1>
      <formula2>0</formula2>
    </dataValidation>
    <dataValidation type="list" allowBlank="1" showInputMessage="1" errorTitle="Eingabefehler" error="Ungültige Auswahl" promptTitle="Tarif" prompt="Wählen Sie das anzuwendende Tarifprofil." sqref="J7:J106">
      <formula1>"Kein Tarif / Haustarif,TVöD-P (Pflege Bund/Komm.),TVöD-K (Krankenhaus),TVöD-V (Verwaltung),AVR Caritas,AVR Diakonie,NGG MTV (Hotel/Gastro),BdS (Systemgastronomie),IG Metall West (35h),IG Metall Ost (38h),IG BCE (Chemie 37,5h),BAP/iGZ (Zeitarbeit)"</formula1>
      <formula2>0</formula2>
    </dataValidation>
    <dataValidation type="list" allowBlank="1" showInputMessage="1" errorTitle="Eingabefehler" error="Ungültige Auswahl" promptTitle="Aushang-Einwilligung" prompt="Hat der Mitarbeiter dem öffentlichen Aushang seines Namens zugestimmt? (DSGVO Art. 6, BDSG § 26)" sqref="L7:L106">
      <formula1>"Ja,Nein"</formula1>
      <formula2>0</formula2>
    </dataValidation>
    <dataValidation type="list" allowBlank="1" showInputMessage="1" errorTitle="Eingabefehler" error="Ungültige Auswahl" promptTitle="Nachtarbeitnehmer" prompt="Nachtarbeitnehmer i.S.d. § 2 Abs. 5 ArbZG (≥48 Nächte/Jahr oder Wechselschicht)" sqref="M7:M106">
      <formula1>"Ja,Nein"</formula1>
      <formula2>0</formula2>
    </dataValidation>
  </dataValidations>
  <pageMargins left="0.4" right="0.4"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3" width="15" customWidth="1"/>
    <col min="4" max="4" width="17" customWidth="1"/>
    <col min="5" max="5" width="16" customWidth="1"/>
    <col min="6" max="7" width="18" customWidth="1"/>
    <col min="8" max="8" width="17" customWidth="1"/>
    <col min="9" max="9" width="15" customWidth="1"/>
    <col min="10" max="10" width="16" customWidth="1"/>
    <col min="11" max="14" width="18" customWidth="1"/>
    <col min="15" max="15" width="16" customWidth="1"/>
    <col min="16" max="16" width="18" customWidth="1"/>
    <col min="17" max="17" width="17" customWidth="1"/>
    <col min="18" max="18" width="14" customWidth="1"/>
    <col min="19" max="19" width="17" customWidth="1"/>
    <col min="20" max="20" width="15" customWidth="1"/>
    <col min="21" max="21" width="14" customWidth="1"/>
    <col min="22" max="22" width="18" customWidth="1"/>
    <col min="23" max="23" width="11" customWidth="1"/>
    <col min="24" max="24" width="18" customWidth="1"/>
    <col min="25" max="25" width="8" customWidth="1"/>
  </cols>
  <sheetData>
    <row r="1" spans="1:29" ht="37.5" customHeight="1" x14ac:dyDescent="0.25">
      <c r="A1" s="15" t="s">
        <v>0</v>
      </c>
      <c r="B1" s="16" t="s">
        <v>200</v>
      </c>
    </row>
    <row r="2" spans="1:29" ht="18" customHeight="1" x14ac:dyDescent="0.25">
      <c r="A2" s="17" t="s">
        <v>2</v>
      </c>
      <c r="B2" s="18" t="s">
        <v>201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60" customHeight="1" x14ac:dyDescent="0.25">
      <c r="A5" s="46" t="s">
        <v>202</v>
      </c>
      <c r="B5" s="46" t="s">
        <v>203</v>
      </c>
      <c r="C5" s="46" t="s">
        <v>204</v>
      </c>
      <c r="D5" s="46" t="s">
        <v>205</v>
      </c>
      <c r="E5" s="46" t="s">
        <v>206</v>
      </c>
      <c r="F5" s="46" t="s">
        <v>207</v>
      </c>
      <c r="G5" s="46" t="s">
        <v>208</v>
      </c>
      <c r="H5" s="46" t="s">
        <v>209</v>
      </c>
      <c r="I5" s="46" t="s">
        <v>210</v>
      </c>
      <c r="J5" s="46" t="s">
        <v>211</v>
      </c>
      <c r="K5" s="46" t="s">
        <v>212</v>
      </c>
      <c r="L5" s="46" t="s">
        <v>213</v>
      </c>
      <c r="M5" s="46" t="s">
        <v>214</v>
      </c>
      <c r="N5" s="46" t="s">
        <v>215</v>
      </c>
      <c r="O5" s="46" t="s">
        <v>216</v>
      </c>
      <c r="P5" s="46" t="s">
        <v>217</v>
      </c>
      <c r="Q5" s="46" t="s">
        <v>218</v>
      </c>
      <c r="R5" s="46" t="s">
        <v>219</v>
      </c>
      <c r="S5" s="46" t="s">
        <v>220</v>
      </c>
      <c r="T5" s="46" t="s">
        <v>221</v>
      </c>
      <c r="U5" s="46" t="s">
        <v>222</v>
      </c>
      <c r="V5" s="46" t="s">
        <v>223</v>
      </c>
      <c r="W5" s="46" t="s">
        <v>224</v>
      </c>
      <c r="X5" s="46" t="s">
        <v>225</v>
      </c>
      <c r="Y5" s="46" t="s">
        <v>154</v>
      </c>
    </row>
    <row r="6" spans="1:29" x14ac:dyDescent="0.25">
      <c r="A6" s="47" t="str">
        <f>'👥 Mitarbeiter'!A7</f>
        <v>MA001</v>
      </c>
      <c r="B6" s="47" t="str">
        <f>'👥 Mitarbeiter'!B7&amp;" "&amp;'👥 Mitarbeiter'!C7</f>
        <v>Anna Beispiel</v>
      </c>
      <c r="C6" s="48">
        <v>3</v>
      </c>
      <c r="D6" s="48">
        <v>2</v>
      </c>
      <c r="E6" s="48">
        <v>2</v>
      </c>
      <c r="F6" s="48">
        <v>2</v>
      </c>
      <c r="G6" s="48">
        <v>0</v>
      </c>
      <c r="H6" s="48">
        <v>0</v>
      </c>
      <c r="I6" s="48">
        <v>0</v>
      </c>
      <c r="J6" s="48">
        <v>1</v>
      </c>
      <c r="K6" s="48">
        <v>0</v>
      </c>
      <c r="L6" s="48">
        <v>0</v>
      </c>
      <c r="M6" s="48">
        <v>0</v>
      </c>
      <c r="N6" s="48">
        <v>0</v>
      </c>
      <c r="O6" s="48">
        <v>0</v>
      </c>
      <c r="P6" s="48">
        <v>0</v>
      </c>
      <c r="Q6" s="48">
        <v>0</v>
      </c>
      <c r="R6" s="48">
        <v>2</v>
      </c>
      <c r="S6" s="48">
        <v>2</v>
      </c>
      <c r="T6" s="48">
        <v>1</v>
      </c>
      <c r="U6" s="48">
        <v>2</v>
      </c>
      <c r="V6" s="48">
        <v>1</v>
      </c>
      <c r="W6" s="49">
        <f t="shared" ref="W6:W15" si="0">SUM(C6:V6)</f>
        <v>18</v>
      </c>
      <c r="X6" s="42"/>
      <c r="Y6" s="50" t="s">
        <v>163</v>
      </c>
    </row>
    <row r="7" spans="1:29" x14ac:dyDescent="0.25">
      <c r="A7" s="47" t="str">
        <f>'👥 Mitarbeiter'!A8</f>
        <v>MA002</v>
      </c>
      <c r="B7" s="47" t="str">
        <f>'👥 Mitarbeiter'!B8&amp;" "&amp;'👥 Mitarbeiter'!C8</f>
        <v>Bernd Muster</v>
      </c>
      <c r="C7" s="48">
        <v>2</v>
      </c>
      <c r="D7" s="48">
        <v>3</v>
      </c>
      <c r="E7" s="48">
        <v>2</v>
      </c>
      <c r="F7" s="48">
        <v>2</v>
      </c>
      <c r="G7" s="48">
        <v>2</v>
      </c>
      <c r="H7" s="48">
        <v>0</v>
      </c>
      <c r="I7" s="48">
        <v>0</v>
      </c>
      <c r="J7" s="48">
        <v>1</v>
      </c>
      <c r="K7" s="48">
        <v>0</v>
      </c>
      <c r="L7" s="48">
        <v>0</v>
      </c>
      <c r="M7" s="48">
        <v>0</v>
      </c>
      <c r="N7" s="48">
        <v>0</v>
      </c>
      <c r="O7" s="48">
        <v>0</v>
      </c>
      <c r="P7" s="48">
        <v>0</v>
      </c>
      <c r="Q7" s="48">
        <v>0</v>
      </c>
      <c r="R7" s="48">
        <v>1</v>
      </c>
      <c r="S7" s="48">
        <v>1</v>
      </c>
      <c r="T7" s="48">
        <v>2</v>
      </c>
      <c r="U7" s="48">
        <v>3</v>
      </c>
      <c r="V7" s="48">
        <v>2</v>
      </c>
      <c r="W7" s="49">
        <f t="shared" si="0"/>
        <v>21</v>
      </c>
      <c r="X7" s="42"/>
      <c r="Y7" s="50" t="s">
        <v>163</v>
      </c>
    </row>
    <row r="8" spans="1:29" x14ac:dyDescent="0.25">
      <c r="A8" s="47" t="str">
        <f>'👥 Mitarbeiter'!A9</f>
        <v>MA003</v>
      </c>
      <c r="B8" s="47" t="str">
        <f>'👥 Mitarbeiter'!B9&amp;" "&amp;'👥 Mitarbeiter'!C9</f>
        <v>Clara Demo</v>
      </c>
      <c r="C8" s="48">
        <v>1</v>
      </c>
      <c r="D8" s="48">
        <v>1</v>
      </c>
      <c r="E8" s="48">
        <v>2</v>
      </c>
      <c r="F8" s="48">
        <v>2</v>
      </c>
      <c r="G8" s="48">
        <v>0</v>
      </c>
      <c r="H8" s="48">
        <v>0</v>
      </c>
      <c r="I8" s="48">
        <v>0</v>
      </c>
      <c r="J8" s="48">
        <v>2</v>
      </c>
      <c r="K8" s="48">
        <v>0</v>
      </c>
      <c r="L8" s="48">
        <v>0</v>
      </c>
      <c r="M8" s="48">
        <v>0</v>
      </c>
      <c r="N8" s="48">
        <v>0</v>
      </c>
      <c r="O8" s="48">
        <v>0</v>
      </c>
      <c r="P8" s="48">
        <v>0</v>
      </c>
      <c r="Q8" s="48">
        <v>1</v>
      </c>
      <c r="R8" s="48">
        <v>2</v>
      </c>
      <c r="S8" s="48">
        <v>2</v>
      </c>
      <c r="T8" s="48">
        <v>2</v>
      </c>
      <c r="U8" s="48">
        <v>1</v>
      </c>
      <c r="V8" s="48">
        <v>0</v>
      </c>
      <c r="W8" s="49">
        <f t="shared" si="0"/>
        <v>16</v>
      </c>
      <c r="X8" s="42"/>
      <c r="Y8" s="50" t="s">
        <v>163</v>
      </c>
    </row>
    <row r="9" spans="1:29" x14ac:dyDescent="0.25">
      <c r="A9" s="47" t="str">
        <f>'👥 Mitarbeiter'!A10</f>
        <v>MA004</v>
      </c>
      <c r="B9" s="47" t="str">
        <f>'👥 Mitarbeiter'!B10&amp;" "&amp;'👥 Mitarbeiter'!C10</f>
        <v>David Test</v>
      </c>
      <c r="C9" s="48">
        <v>2</v>
      </c>
      <c r="D9" s="48">
        <v>2</v>
      </c>
      <c r="E9" s="48">
        <v>1</v>
      </c>
      <c r="F9" s="48">
        <v>2</v>
      </c>
      <c r="G9" s="48">
        <v>3</v>
      </c>
      <c r="H9" s="48">
        <v>2</v>
      </c>
      <c r="I9" s="48">
        <v>1</v>
      </c>
      <c r="J9" s="48">
        <v>2</v>
      </c>
      <c r="K9" s="48">
        <v>2</v>
      </c>
      <c r="L9" s="48">
        <v>1</v>
      </c>
      <c r="M9" s="48">
        <v>0</v>
      </c>
      <c r="N9" s="48">
        <v>0</v>
      </c>
      <c r="O9" s="48">
        <v>0</v>
      </c>
      <c r="P9" s="48">
        <v>0</v>
      </c>
      <c r="Q9" s="48">
        <v>0</v>
      </c>
      <c r="R9" s="48">
        <v>1</v>
      </c>
      <c r="S9" s="48">
        <v>1</v>
      </c>
      <c r="T9" s="48">
        <v>1</v>
      </c>
      <c r="U9" s="48">
        <v>2</v>
      </c>
      <c r="V9" s="48">
        <v>1</v>
      </c>
      <c r="W9" s="49">
        <f t="shared" si="0"/>
        <v>24</v>
      </c>
      <c r="X9" s="42"/>
      <c r="Y9" s="50" t="s">
        <v>163</v>
      </c>
    </row>
    <row r="10" spans="1:29" x14ac:dyDescent="0.25">
      <c r="A10" s="47" t="str">
        <f>'👥 Mitarbeiter'!A11</f>
        <v>MA005</v>
      </c>
      <c r="B10" s="47" t="str">
        <f>'👥 Mitarbeiter'!B11&amp;" "&amp;'👥 Mitarbeiter'!C11</f>
        <v>Eva Vorlage</v>
      </c>
      <c r="C10" s="48">
        <v>1</v>
      </c>
      <c r="D10" s="48">
        <v>1</v>
      </c>
      <c r="E10" s="48">
        <v>2</v>
      </c>
      <c r="F10" s="48">
        <v>2</v>
      </c>
      <c r="G10" s="48">
        <v>0</v>
      </c>
      <c r="H10" s="48">
        <v>0</v>
      </c>
      <c r="I10" s="48">
        <v>0</v>
      </c>
      <c r="J10" s="48">
        <v>1</v>
      </c>
      <c r="K10" s="48">
        <v>0</v>
      </c>
      <c r="L10" s="48">
        <v>0</v>
      </c>
      <c r="M10" s="48">
        <v>0</v>
      </c>
      <c r="N10" s="48">
        <v>0</v>
      </c>
      <c r="O10" s="48">
        <v>0</v>
      </c>
      <c r="P10" s="48">
        <v>0</v>
      </c>
      <c r="Q10" s="48">
        <v>2</v>
      </c>
      <c r="R10" s="48">
        <v>2</v>
      </c>
      <c r="S10" s="48">
        <v>2</v>
      </c>
      <c r="T10" s="48">
        <v>2</v>
      </c>
      <c r="U10" s="48">
        <v>0</v>
      </c>
      <c r="V10" s="48">
        <v>0</v>
      </c>
      <c r="W10" s="49">
        <f t="shared" si="0"/>
        <v>15</v>
      </c>
      <c r="X10" s="42"/>
      <c r="Y10" s="50" t="s">
        <v>163</v>
      </c>
    </row>
    <row r="11" spans="1:29" x14ac:dyDescent="0.25">
      <c r="A11" s="47" t="str">
        <f>'👥 Mitarbeiter'!A12</f>
        <v>MA006</v>
      </c>
      <c r="B11" s="47" t="str">
        <f>'👥 Mitarbeiter'!B12&amp;" "&amp;'👥 Mitarbeiter'!C12</f>
        <v>Frank Schicht</v>
      </c>
      <c r="C11" s="48">
        <v>3</v>
      </c>
      <c r="D11" s="48">
        <v>2</v>
      </c>
      <c r="E11" s="48">
        <v>2</v>
      </c>
      <c r="F11" s="48">
        <v>2</v>
      </c>
      <c r="G11" s="48">
        <v>2</v>
      </c>
      <c r="H11" s="48">
        <v>0</v>
      </c>
      <c r="I11" s="48">
        <v>0</v>
      </c>
      <c r="J11" s="48">
        <v>2</v>
      </c>
      <c r="K11" s="48">
        <v>0</v>
      </c>
      <c r="L11" s="48">
        <v>0</v>
      </c>
      <c r="M11" s="48">
        <v>0</v>
      </c>
      <c r="N11" s="48">
        <v>0</v>
      </c>
      <c r="O11" s="48">
        <v>0</v>
      </c>
      <c r="P11" s="48">
        <v>0</v>
      </c>
      <c r="Q11" s="48">
        <v>0</v>
      </c>
      <c r="R11" s="48">
        <v>1</v>
      </c>
      <c r="S11" s="48">
        <v>1</v>
      </c>
      <c r="T11" s="48">
        <v>1</v>
      </c>
      <c r="U11" s="48">
        <v>3</v>
      </c>
      <c r="V11" s="48">
        <v>3</v>
      </c>
      <c r="W11" s="49">
        <f t="shared" si="0"/>
        <v>22</v>
      </c>
      <c r="X11" s="42"/>
      <c r="Y11" s="50" t="s">
        <v>163</v>
      </c>
    </row>
    <row r="12" spans="1:29" x14ac:dyDescent="0.25">
      <c r="A12" s="47" t="str">
        <f>'👥 Mitarbeiter'!A13</f>
        <v>MA007</v>
      </c>
      <c r="B12" s="47" t="str">
        <f>'👥 Mitarbeiter'!B13&amp;" "&amp;'👥 Mitarbeiter'!C13</f>
        <v>Greta Plan</v>
      </c>
      <c r="C12" s="48">
        <v>1</v>
      </c>
      <c r="D12" s="48">
        <v>1</v>
      </c>
      <c r="E12" s="48">
        <v>1</v>
      </c>
      <c r="F12" s="48">
        <v>1</v>
      </c>
      <c r="G12" s="48">
        <v>0</v>
      </c>
      <c r="H12" s="48">
        <v>0</v>
      </c>
      <c r="I12" s="48">
        <v>0</v>
      </c>
      <c r="J12" s="48">
        <v>0</v>
      </c>
      <c r="K12" s="48">
        <v>0</v>
      </c>
      <c r="L12" s="48">
        <v>0</v>
      </c>
      <c r="M12" s="48">
        <v>0</v>
      </c>
      <c r="N12" s="48">
        <v>0</v>
      </c>
      <c r="O12" s="48">
        <v>0</v>
      </c>
      <c r="P12" s="48">
        <v>0</v>
      </c>
      <c r="Q12" s="48">
        <v>0</v>
      </c>
      <c r="R12" s="48">
        <v>1</v>
      </c>
      <c r="S12" s="48">
        <v>1</v>
      </c>
      <c r="T12" s="48">
        <v>2</v>
      </c>
      <c r="U12" s="48">
        <v>0</v>
      </c>
      <c r="V12" s="48">
        <v>0</v>
      </c>
      <c r="W12" s="49">
        <f t="shared" si="0"/>
        <v>8</v>
      </c>
      <c r="X12" s="42"/>
      <c r="Y12" s="50" t="s">
        <v>163</v>
      </c>
    </row>
    <row r="13" spans="1:29" x14ac:dyDescent="0.25">
      <c r="A13" s="47" t="str">
        <f>'👥 Mitarbeiter'!A14</f>
        <v>MA008</v>
      </c>
      <c r="B13" s="47" t="str">
        <f>'👥 Mitarbeiter'!B14&amp;" "&amp;'👥 Mitarbeiter'!C14</f>
        <v>Hans Beispiel</v>
      </c>
      <c r="C13" s="48">
        <v>2</v>
      </c>
      <c r="D13" s="48">
        <v>2</v>
      </c>
      <c r="E13" s="48">
        <v>2</v>
      </c>
      <c r="F13" s="48">
        <v>2</v>
      </c>
      <c r="G13" s="48">
        <v>3</v>
      </c>
      <c r="H13" s="48">
        <v>2</v>
      </c>
      <c r="I13" s="48">
        <v>2</v>
      </c>
      <c r="J13" s="48">
        <v>2</v>
      </c>
      <c r="K13" s="48">
        <v>3</v>
      </c>
      <c r="L13" s="48">
        <v>1</v>
      </c>
      <c r="M13" s="48">
        <v>0</v>
      </c>
      <c r="N13" s="48">
        <v>0</v>
      </c>
      <c r="O13" s="48">
        <v>0</v>
      </c>
      <c r="P13" s="48">
        <v>0</v>
      </c>
      <c r="Q13" s="48">
        <v>0</v>
      </c>
      <c r="R13" s="48">
        <v>1</v>
      </c>
      <c r="S13" s="48">
        <v>1</v>
      </c>
      <c r="T13" s="48">
        <v>1</v>
      </c>
      <c r="U13" s="48">
        <v>2</v>
      </c>
      <c r="V13" s="48">
        <v>1</v>
      </c>
      <c r="W13" s="49">
        <f t="shared" si="0"/>
        <v>27</v>
      </c>
      <c r="X13" s="42"/>
      <c r="Y13" s="50" t="s">
        <v>163</v>
      </c>
    </row>
    <row r="14" spans="1:29" x14ac:dyDescent="0.25">
      <c r="A14" s="47" t="str">
        <f>'👥 Mitarbeiter'!A15</f>
        <v>MA009</v>
      </c>
      <c r="B14" s="47" t="str">
        <f>'👥 Mitarbeiter'!B15&amp;" "&amp;'👥 Mitarbeiter'!C15</f>
        <v>Ina Muster</v>
      </c>
      <c r="C14" s="48">
        <v>1</v>
      </c>
      <c r="D14" s="48">
        <v>1</v>
      </c>
      <c r="E14" s="48">
        <v>2</v>
      </c>
      <c r="F14" s="48">
        <v>2</v>
      </c>
      <c r="G14" s="48">
        <v>0</v>
      </c>
      <c r="H14" s="48">
        <v>0</v>
      </c>
      <c r="I14" s="48">
        <v>0</v>
      </c>
      <c r="J14" s="48">
        <v>1</v>
      </c>
      <c r="K14" s="48">
        <v>0</v>
      </c>
      <c r="L14" s="48">
        <v>0</v>
      </c>
      <c r="M14" s="48">
        <v>0</v>
      </c>
      <c r="N14" s="48">
        <v>0</v>
      </c>
      <c r="O14" s="48">
        <v>0</v>
      </c>
      <c r="P14" s="48">
        <v>0</v>
      </c>
      <c r="Q14" s="48">
        <v>1</v>
      </c>
      <c r="R14" s="48">
        <v>1</v>
      </c>
      <c r="S14" s="48">
        <v>1</v>
      </c>
      <c r="T14" s="48">
        <v>2</v>
      </c>
      <c r="U14" s="48">
        <v>0</v>
      </c>
      <c r="V14" s="48">
        <v>0</v>
      </c>
      <c r="W14" s="49">
        <f t="shared" si="0"/>
        <v>12</v>
      </c>
      <c r="X14" s="42"/>
      <c r="Y14" s="50" t="s">
        <v>163</v>
      </c>
    </row>
    <row r="15" spans="1:29" x14ac:dyDescent="0.25">
      <c r="A15" s="47" t="str">
        <f>'👥 Mitarbeiter'!A16</f>
        <v>MA010</v>
      </c>
      <c r="B15" s="47" t="str">
        <f>'👥 Mitarbeiter'!B16&amp;" "&amp;'👥 Mitarbeiter'!C16</f>
        <v>Jan Demo</v>
      </c>
      <c r="C15" s="48">
        <v>2</v>
      </c>
      <c r="D15" s="48">
        <v>2</v>
      </c>
      <c r="E15" s="48">
        <v>2</v>
      </c>
      <c r="F15" s="48">
        <v>2</v>
      </c>
      <c r="G15" s="48">
        <v>2</v>
      </c>
      <c r="H15" s="48">
        <v>1</v>
      </c>
      <c r="I15" s="48">
        <v>1</v>
      </c>
      <c r="J15" s="48">
        <v>2</v>
      </c>
      <c r="K15" s="48">
        <v>1</v>
      </c>
      <c r="L15" s="48">
        <v>1</v>
      </c>
      <c r="M15" s="48">
        <v>0</v>
      </c>
      <c r="N15" s="48">
        <v>0</v>
      </c>
      <c r="O15" s="48">
        <v>0</v>
      </c>
      <c r="P15" s="48">
        <v>0</v>
      </c>
      <c r="Q15" s="48">
        <v>0</v>
      </c>
      <c r="R15" s="48">
        <v>1</v>
      </c>
      <c r="S15" s="48">
        <v>1</v>
      </c>
      <c r="T15" s="48">
        <v>2</v>
      </c>
      <c r="U15" s="48">
        <v>2</v>
      </c>
      <c r="V15" s="48">
        <v>1</v>
      </c>
      <c r="W15" s="49">
        <f t="shared" si="0"/>
        <v>23</v>
      </c>
      <c r="X15" s="42"/>
      <c r="Y15" s="50" t="s">
        <v>163</v>
      </c>
    </row>
    <row r="16" spans="1:29" x14ac:dyDescent="0.25">
      <c r="A16">
        <f>IFERROR('👥 Mitarbeiter'!A17,"")</f>
        <v>0</v>
      </c>
      <c r="B16" t="str">
        <f>IFERROR('👥 Mitarbeiter'!B17&amp;" "&amp;'👥 Mitarbeiter'!C17,"")</f>
        <v xml:space="preserve"> </v>
      </c>
      <c r="C16" s="51"/>
      <c r="D16" s="51"/>
      <c r="E16" s="51"/>
      <c r="F16" s="51"/>
      <c r="G16" s="51"/>
      <c r="H16" s="51"/>
      <c r="I16" s="51"/>
      <c r="J16" s="51"/>
      <c r="K16" s="51"/>
      <c r="L16" s="51"/>
      <c r="M16" s="51"/>
      <c r="N16" s="51"/>
      <c r="O16" s="51"/>
      <c r="P16" s="51"/>
      <c r="Q16" s="51"/>
      <c r="R16" s="51"/>
      <c r="S16" s="51"/>
      <c r="T16" s="51"/>
      <c r="U16" s="51"/>
      <c r="V16" s="51"/>
    </row>
    <row r="17" spans="1:22" x14ac:dyDescent="0.25">
      <c r="A17">
        <f>IFERROR('👥 Mitarbeiter'!A18,"")</f>
        <v>0</v>
      </c>
      <c r="B17" t="str">
        <f>IFERROR('👥 Mitarbeiter'!B18&amp;" "&amp;'👥 Mitarbeiter'!C18,"")</f>
        <v xml:space="preserve"> </v>
      </c>
      <c r="C17" s="51"/>
      <c r="D17" s="51"/>
      <c r="E17" s="51"/>
      <c r="F17" s="51"/>
      <c r="G17" s="51"/>
      <c r="H17" s="51"/>
      <c r="I17" s="51"/>
      <c r="J17" s="51"/>
      <c r="K17" s="51"/>
      <c r="L17" s="51"/>
      <c r="M17" s="51"/>
      <c r="N17" s="51"/>
      <c r="O17" s="51"/>
      <c r="P17" s="51"/>
      <c r="Q17" s="51"/>
      <c r="R17" s="51"/>
      <c r="S17" s="51"/>
      <c r="T17" s="51"/>
      <c r="U17" s="51"/>
      <c r="V17" s="51"/>
    </row>
    <row r="18" spans="1:22" x14ac:dyDescent="0.25">
      <c r="A18">
        <f>IFERROR('👥 Mitarbeiter'!A19,"")</f>
        <v>0</v>
      </c>
      <c r="B18" t="str">
        <f>IFERROR('👥 Mitarbeiter'!B19&amp;" "&amp;'👥 Mitarbeiter'!C19,"")</f>
        <v xml:space="preserve"> </v>
      </c>
      <c r="C18" s="51"/>
      <c r="D18" s="51"/>
      <c r="E18" s="51"/>
      <c r="F18" s="51"/>
      <c r="G18" s="51"/>
      <c r="H18" s="51"/>
      <c r="I18" s="51"/>
      <c r="J18" s="51"/>
      <c r="K18" s="51"/>
      <c r="L18" s="51"/>
      <c r="M18" s="51"/>
      <c r="N18" s="51"/>
      <c r="O18" s="51"/>
      <c r="P18" s="51"/>
      <c r="Q18" s="51"/>
      <c r="R18" s="51"/>
      <c r="S18" s="51"/>
      <c r="T18" s="51"/>
      <c r="U18" s="51"/>
      <c r="V18" s="51"/>
    </row>
    <row r="19" spans="1:22" x14ac:dyDescent="0.25">
      <c r="A19">
        <f>IFERROR('👥 Mitarbeiter'!A20,"")</f>
        <v>0</v>
      </c>
      <c r="B19" t="str">
        <f>IFERROR('👥 Mitarbeiter'!B20&amp;" "&amp;'👥 Mitarbeiter'!C20,"")</f>
        <v xml:space="preserve"> </v>
      </c>
      <c r="C19" s="51"/>
      <c r="D19" s="51"/>
      <c r="E19" s="51"/>
      <c r="F19" s="51"/>
      <c r="G19" s="51"/>
      <c r="H19" s="51"/>
      <c r="I19" s="51"/>
      <c r="J19" s="51"/>
      <c r="K19" s="51"/>
      <c r="L19" s="51"/>
      <c r="M19" s="51"/>
      <c r="N19" s="51"/>
      <c r="O19" s="51"/>
      <c r="P19" s="51"/>
      <c r="Q19" s="51"/>
      <c r="R19" s="51"/>
      <c r="S19" s="51"/>
      <c r="T19" s="51"/>
      <c r="U19" s="51"/>
      <c r="V19" s="51"/>
    </row>
    <row r="20" spans="1:22" x14ac:dyDescent="0.25">
      <c r="A20">
        <f>IFERROR('👥 Mitarbeiter'!A21,"")</f>
        <v>0</v>
      </c>
      <c r="B20" t="str">
        <f>IFERROR('👥 Mitarbeiter'!B21&amp;" "&amp;'👥 Mitarbeiter'!C21,"")</f>
        <v xml:space="preserve"> </v>
      </c>
      <c r="C20" s="51"/>
      <c r="D20" s="51"/>
      <c r="E20" s="51"/>
      <c r="F20" s="51"/>
      <c r="G20" s="51"/>
      <c r="H20" s="51"/>
      <c r="I20" s="51"/>
      <c r="J20" s="51"/>
      <c r="K20" s="51"/>
      <c r="L20" s="51"/>
      <c r="M20" s="51"/>
      <c r="N20" s="51"/>
      <c r="O20" s="51"/>
      <c r="P20" s="51"/>
      <c r="Q20" s="51"/>
      <c r="R20" s="51"/>
      <c r="S20" s="51"/>
      <c r="T20" s="51"/>
      <c r="U20" s="51"/>
      <c r="V20" s="51"/>
    </row>
    <row r="21" spans="1:22" x14ac:dyDescent="0.25">
      <c r="A21">
        <f>IFERROR('👥 Mitarbeiter'!A22,"")</f>
        <v>0</v>
      </c>
      <c r="B21" t="str">
        <f>IFERROR('👥 Mitarbeiter'!B22&amp;" "&amp;'👥 Mitarbeiter'!C22,"")</f>
        <v xml:space="preserve"> </v>
      </c>
      <c r="C21" s="51"/>
      <c r="D21" s="51"/>
      <c r="E21" s="51"/>
      <c r="F21" s="51"/>
      <c r="G21" s="51"/>
      <c r="H21" s="51"/>
      <c r="I21" s="51"/>
      <c r="J21" s="51"/>
      <c r="K21" s="51"/>
      <c r="L21" s="51"/>
      <c r="M21" s="51"/>
      <c r="N21" s="51"/>
      <c r="O21" s="51"/>
      <c r="P21" s="51"/>
      <c r="Q21" s="51"/>
      <c r="R21" s="51"/>
      <c r="S21" s="51"/>
      <c r="T21" s="51"/>
      <c r="U21" s="51"/>
      <c r="V21" s="51"/>
    </row>
    <row r="22" spans="1:22" x14ac:dyDescent="0.25">
      <c r="A22">
        <f>IFERROR('👥 Mitarbeiter'!A23,"")</f>
        <v>0</v>
      </c>
      <c r="B22" t="str">
        <f>IFERROR('👥 Mitarbeiter'!B23&amp;" "&amp;'👥 Mitarbeiter'!C23,"")</f>
        <v xml:space="preserve"> </v>
      </c>
      <c r="C22" s="51"/>
      <c r="D22" s="51"/>
      <c r="E22" s="51"/>
      <c r="F22" s="51"/>
      <c r="G22" s="51"/>
      <c r="H22" s="51"/>
      <c r="I22" s="51"/>
      <c r="J22" s="51"/>
      <c r="K22" s="51"/>
      <c r="L22" s="51"/>
      <c r="M22" s="51"/>
      <c r="N22" s="51"/>
      <c r="O22" s="51"/>
      <c r="P22" s="51"/>
      <c r="Q22" s="51"/>
      <c r="R22" s="51"/>
      <c r="S22" s="51"/>
      <c r="T22" s="51"/>
      <c r="U22" s="51"/>
      <c r="V22" s="51"/>
    </row>
    <row r="23" spans="1:22" x14ac:dyDescent="0.25">
      <c r="A23">
        <f>IFERROR('👥 Mitarbeiter'!A24,"")</f>
        <v>0</v>
      </c>
      <c r="B23" t="str">
        <f>IFERROR('👥 Mitarbeiter'!B24&amp;" "&amp;'👥 Mitarbeiter'!C24,"")</f>
        <v xml:space="preserve"> </v>
      </c>
      <c r="C23" s="51"/>
      <c r="D23" s="51"/>
      <c r="E23" s="51"/>
      <c r="F23" s="51"/>
      <c r="G23" s="51"/>
      <c r="H23" s="51"/>
      <c r="I23" s="51"/>
      <c r="J23" s="51"/>
      <c r="K23" s="51"/>
      <c r="L23" s="51"/>
      <c r="M23" s="51"/>
      <c r="N23" s="51"/>
      <c r="O23" s="51"/>
      <c r="P23" s="51"/>
      <c r="Q23" s="51"/>
      <c r="R23" s="51"/>
      <c r="S23" s="51"/>
      <c r="T23" s="51"/>
      <c r="U23" s="51"/>
      <c r="V23" s="51"/>
    </row>
    <row r="24" spans="1:22" x14ac:dyDescent="0.25">
      <c r="A24">
        <f>IFERROR('👥 Mitarbeiter'!A25,"")</f>
        <v>0</v>
      </c>
      <c r="B24" t="str">
        <f>IFERROR('👥 Mitarbeiter'!B25&amp;" "&amp;'👥 Mitarbeiter'!C25,"")</f>
        <v xml:space="preserve"> </v>
      </c>
      <c r="C24" s="51"/>
      <c r="D24" s="51"/>
      <c r="E24" s="51"/>
      <c r="F24" s="51"/>
      <c r="G24" s="51"/>
      <c r="H24" s="51"/>
      <c r="I24" s="51"/>
      <c r="J24" s="51"/>
      <c r="K24" s="51"/>
      <c r="L24" s="51"/>
      <c r="M24" s="51"/>
      <c r="N24" s="51"/>
      <c r="O24" s="51"/>
      <c r="P24" s="51"/>
      <c r="Q24" s="51"/>
      <c r="R24" s="51"/>
      <c r="S24" s="51"/>
      <c r="T24" s="51"/>
      <c r="U24" s="51"/>
      <c r="V24" s="51"/>
    </row>
    <row r="25" spans="1:22" x14ac:dyDescent="0.25">
      <c r="A25">
        <f>IFERROR('👥 Mitarbeiter'!A26,"")</f>
        <v>0</v>
      </c>
      <c r="B25" t="str">
        <f>IFERROR('👥 Mitarbeiter'!B26&amp;" "&amp;'👥 Mitarbeiter'!C26,"")</f>
        <v xml:space="preserve"> </v>
      </c>
      <c r="C25" s="51"/>
      <c r="D25" s="51"/>
      <c r="E25" s="51"/>
      <c r="F25" s="51"/>
      <c r="G25" s="51"/>
      <c r="H25" s="51"/>
      <c r="I25" s="51"/>
      <c r="J25" s="51"/>
      <c r="K25" s="51"/>
      <c r="L25" s="51"/>
      <c r="M25" s="51"/>
      <c r="N25" s="51"/>
      <c r="O25" s="51"/>
      <c r="P25" s="51"/>
      <c r="Q25" s="51"/>
      <c r="R25" s="51"/>
      <c r="S25" s="51"/>
      <c r="T25" s="51"/>
      <c r="U25" s="51"/>
      <c r="V25" s="51"/>
    </row>
    <row r="26" spans="1:22" x14ac:dyDescent="0.25">
      <c r="A26">
        <f>IFERROR('👥 Mitarbeiter'!A27,"")</f>
        <v>0</v>
      </c>
      <c r="B26" t="str">
        <f>IFERROR('👥 Mitarbeiter'!B27&amp;" "&amp;'👥 Mitarbeiter'!C27,"")</f>
        <v xml:space="preserve"> </v>
      </c>
      <c r="C26" s="51"/>
      <c r="D26" s="51"/>
      <c r="E26" s="51"/>
      <c r="F26" s="51"/>
      <c r="G26" s="51"/>
      <c r="H26" s="51"/>
      <c r="I26" s="51"/>
      <c r="J26" s="51"/>
      <c r="K26" s="51"/>
      <c r="L26" s="51"/>
      <c r="M26" s="51"/>
      <c r="N26" s="51"/>
      <c r="O26" s="51"/>
      <c r="P26" s="51"/>
      <c r="Q26" s="51"/>
      <c r="R26" s="51"/>
      <c r="S26" s="51"/>
      <c r="T26" s="51"/>
      <c r="U26" s="51"/>
      <c r="V26" s="51"/>
    </row>
    <row r="27" spans="1:22" x14ac:dyDescent="0.25">
      <c r="A27">
        <f>IFERROR('👥 Mitarbeiter'!A28,"")</f>
        <v>0</v>
      </c>
      <c r="B27" t="str">
        <f>IFERROR('👥 Mitarbeiter'!B28&amp;" "&amp;'👥 Mitarbeiter'!C28,"")</f>
        <v xml:space="preserve"> </v>
      </c>
      <c r="C27" s="51"/>
      <c r="D27" s="51"/>
      <c r="E27" s="51"/>
      <c r="F27" s="51"/>
      <c r="G27" s="51"/>
      <c r="H27" s="51"/>
      <c r="I27" s="51"/>
      <c r="J27" s="51"/>
      <c r="K27" s="51"/>
      <c r="L27" s="51"/>
      <c r="M27" s="51"/>
      <c r="N27" s="51"/>
      <c r="O27" s="51"/>
      <c r="P27" s="51"/>
      <c r="Q27" s="51"/>
      <c r="R27" s="51"/>
      <c r="S27" s="51"/>
      <c r="T27" s="51"/>
      <c r="U27" s="51"/>
      <c r="V27" s="51"/>
    </row>
    <row r="28" spans="1:22" x14ac:dyDescent="0.25">
      <c r="A28">
        <f>IFERROR('👥 Mitarbeiter'!A29,"")</f>
        <v>0</v>
      </c>
      <c r="B28" t="str">
        <f>IFERROR('👥 Mitarbeiter'!B29&amp;" "&amp;'👥 Mitarbeiter'!C29,"")</f>
        <v xml:space="preserve"> </v>
      </c>
      <c r="C28" s="51"/>
      <c r="D28" s="51"/>
      <c r="E28" s="51"/>
      <c r="F28" s="51"/>
      <c r="G28" s="51"/>
      <c r="H28" s="51"/>
      <c r="I28" s="51"/>
      <c r="J28" s="51"/>
      <c r="K28" s="51"/>
      <c r="L28" s="51"/>
      <c r="M28" s="51"/>
      <c r="N28" s="51"/>
      <c r="O28" s="51"/>
      <c r="P28" s="51"/>
      <c r="Q28" s="51"/>
      <c r="R28" s="51"/>
      <c r="S28" s="51"/>
      <c r="T28" s="51"/>
      <c r="U28" s="51"/>
      <c r="V28" s="51"/>
    </row>
    <row r="29" spans="1:22" x14ac:dyDescent="0.25">
      <c r="A29">
        <f>IFERROR('👥 Mitarbeiter'!A30,"")</f>
        <v>0</v>
      </c>
      <c r="B29" t="str">
        <f>IFERROR('👥 Mitarbeiter'!B30&amp;" "&amp;'👥 Mitarbeiter'!C30,"")</f>
        <v xml:space="preserve"> </v>
      </c>
      <c r="C29" s="51"/>
      <c r="D29" s="51"/>
      <c r="E29" s="51"/>
      <c r="F29" s="51"/>
      <c r="G29" s="51"/>
      <c r="H29" s="51"/>
      <c r="I29" s="51"/>
      <c r="J29" s="51"/>
      <c r="K29" s="51"/>
      <c r="L29" s="51"/>
      <c r="M29" s="51"/>
      <c r="N29" s="51"/>
      <c r="O29" s="51"/>
      <c r="P29" s="51"/>
      <c r="Q29" s="51"/>
      <c r="R29" s="51"/>
      <c r="S29" s="51"/>
      <c r="T29" s="51"/>
      <c r="U29" s="51"/>
      <c r="V29" s="51"/>
    </row>
    <row r="30" spans="1:22" x14ac:dyDescent="0.25">
      <c r="A30">
        <f>IFERROR('👥 Mitarbeiter'!A31,"")</f>
        <v>0</v>
      </c>
      <c r="B30" t="str">
        <f>IFERROR('👥 Mitarbeiter'!B31&amp;" "&amp;'👥 Mitarbeiter'!C31,"")</f>
        <v xml:space="preserve"> </v>
      </c>
      <c r="C30" s="51"/>
      <c r="D30" s="51"/>
      <c r="E30" s="51"/>
      <c r="F30" s="51"/>
      <c r="G30" s="51"/>
      <c r="H30" s="51"/>
      <c r="I30" s="51"/>
      <c r="J30" s="51"/>
      <c r="K30" s="51"/>
      <c r="L30" s="51"/>
      <c r="M30" s="51"/>
      <c r="N30" s="51"/>
      <c r="O30" s="51"/>
      <c r="P30" s="51"/>
      <c r="Q30" s="51"/>
      <c r="R30" s="51"/>
      <c r="S30" s="51"/>
      <c r="T30" s="51"/>
      <c r="U30" s="51"/>
      <c r="V30" s="51"/>
    </row>
    <row r="31" spans="1:22" x14ac:dyDescent="0.25">
      <c r="A31">
        <f>IFERROR('👥 Mitarbeiter'!A32,"")</f>
        <v>0</v>
      </c>
      <c r="B31" t="str">
        <f>IFERROR('👥 Mitarbeiter'!B32&amp;" "&amp;'👥 Mitarbeiter'!C32,"")</f>
        <v xml:space="preserve"> </v>
      </c>
      <c r="C31" s="51"/>
      <c r="D31" s="51"/>
      <c r="E31" s="51"/>
      <c r="F31" s="51"/>
      <c r="G31" s="51"/>
      <c r="H31" s="51"/>
      <c r="I31" s="51"/>
      <c r="J31" s="51"/>
      <c r="K31" s="51"/>
      <c r="L31" s="51"/>
      <c r="M31" s="51"/>
      <c r="N31" s="51"/>
      <c r="O31" s="51"/>
      <c r="P31" s="51"/>
      <c r="Q31" s="51"/>
      <c r="R31" s="51"/>
      <c r="S31" s="51"/>
      <c r="T31" s="51"/>
      <c r="U31" s="51"/>
      <c r="V31" s="51"/>
    </row>
    <row r="32" spans="1:22" x14ac:dyDescent="0.25">
      <c r="A32">
        <f>IFERROR('👥 Mitarbeiter'!A33,"")</f>
        <v>0</v>
      </c>
      <c r="B32" t="str">
        <f>IFERROR('👥 Mitarbeiter'!B33&amp;" "&amp;'👥 Mitarbeiter'!C33,"")</f>
        <v xml:space="preserve"> </v>
      </c>
      <c r="C32" s="51"/>
      <c r="D32" s="51"/>
      <c r="E32" s="51"/>
      <c r="F32" s="51"/>
      <c r="G32" s="51"/>
      <c r="H32" s="51"/>
      <c r="I32" s="51"/>
      <c r="J32" s="51"/>
      <c r="K32" s="51"/>
      <c r="L32" s="51"/>
      <c r="M32" s="51"/>
      <c r="N32" s="51"/>
      <c r="O32" s="51"/>
      <c r="P32" s="51"/>
      <c r="Q32" s="51"/>
      <c r="R32" s="51"/>
      <c r="S32" s="51"/>
      <c r="T32" s="51"/>
      <c r="U32" s="51"/>
      <c r="V32" s="51"/>
    </row>
    <row r="33" spans="1:22" x14ac:dyDescent="0.25">
      <c r="A33">
        <f>IFERROR('👥 Mitarbeiter'!A34,"")</f>
        <v>0</v>
      </c>
      <c r="B33" t="str">
        <f>IFERROR('👥 Mitarbeiter'!B34&amp;" "&amp;'👥 Mitarbeiter'!C34,"")</f>
        <v xml:space="preserve"> </v>
      </c>
      <c r="C33" s="51"/>
      <c r="D33" s="51"/>
      <c r="E33" s="51"/>
      <c r="F33" s="51"/>
      <c r="G33" s="51"/>
      <c r="H33" s="51"/>
      <c r="I33" s="51"/>
      <c r="J33" s="51"/>
      <c r="K33" s="51"/>
      <c r="L33" s="51"/>
      <c r="M33" s="51"/>
      <c r="N33" s="51"/>
      <c r="O33" s="51"/>
      <c r="P33" s="51"/>
      <c r="Q33" s="51"/>
      <c r="R33" s="51"/>
      <c r="S33" s="51"/>
      <c r="T33" s="51"/>
      <c r="U33" s="51"/>
      <c r="V33" s="51"/>
    </row>
    <row r="34" spans="1:22" x14ac:dyDescent="0.25">
      <c r="A34">
        <f>IFERROR('👥 Mitarbeiter'!A35,"")</f>
        <v>0</v>
      </c>
      <c r="B34" t="str">
        <f>IFERROR('👥 Mitarbeiter'!B35&amp;" "&amp;'👥 Mitarbeiter'!C35,"")</f>
        <v xml:space="preserve"> </v>
      </c>
      <c r="C34" s="51"/>
      <c r="D34" s="51"/>
      <c r="E34" s="51"/>
      <c r="F34" s="51"/>
      <c r="G34" s="51"/>
      <c r="H34" s="51"/>
      <c r="I34" s="51"/>
      <c r="J34" s="51"/>
      <c r="K34" s="51"/>
      <c r="L34" s="51"/>
      <c r="M34" s="51"/>
      <c r="N34" s="51"/>
      <c r="O34" s="51"/>
      <c r="P34" s="51"/>
      <c r="Q34" s="51"/>
      <c r="R34" s="51"/>
      <c r="S34" s="51"/>
      <c r="T34" s="51"/>
      <c r="U34" s="51"/>
      <c r="V34" s="51"/>
    </row>
    <row r="35" spans="1:22" x14ac:dyDescent="0.25">
      <c r="A35">
        <f>IFERROR('👥 Mitarbeiter'!A36,"")</f>
        <v>0</v>
      </c>
      <c r="B35" t="str">
        <f>IFERROR('👥 Mitarbeiter'!B36&amp;" "&amp;'👥 Mitarbeiter'!C36,"")</f>
        <v xml:space="preserve"> </v>
      </c>
      <c r="C35" s="51"/>
      <c r="D35" s="51"/>
      <c r="E35" s="51"/>
      <c r="F35" s="51"/>
      <c r="G35" s="51"/>
      <c r="H35" s="51"/>
      <c r="I35" s="51"/>
      <c r="J35" s="51"/>
      <c r="K35" s="51"/>
      <c r="L35" s="51"/>
      <c r="M35" s="51"/>
      <c r="N35" s="51"/>
      <c r="O35" s="51"/>
      <c r="P35" s="51"/>
      <c r="Q35" s="51"/>
      <c r="R35" s="51"/>
      <c r="S35" s="51"/>
      <c r="T35" s="51"/>
      <c r="U35" s="51"/>
      <c r="V35" s="51"/>
    </row>
    <row r="36" spans="1:22" x14ac:dyDescent="0.25">
      <c r="A36">
        <f>IFERROR('👥 Mitarbeiter'!A37,"")</f>
        <v>0</v>
      </c>
      <c r="B36" t="str">
        <f>IFERROR('👥 Mitarbeiter'!B37&amp;" "&amp;'👥 Mitarbeiter'!C37,"")</f>
        <v xml:space="preserve"> </v>
      </c>
      <c r="C36" s="51"/>
      <c r="D36" s="51"/>
      <c r="E36" s="51"/>
      <c r="F36" s="51"/>
      <c r="G36" s="51"/>
      <c r="H36" s="51"/>
      <c r="I36" s="51"/>
      <c r="J36" s="51"/>
      <c r="K36" s="51"/>
      <c r="L36" s="51"/>
      <c r="M36" s="51"/>
      <c r="N36" s="51"/>
      <c r="O36" s="51"/>
      <c r="P36" s="51"/>
      <c r="Q36" s="51"/>
      <c r="R36" s="51"/>
      <c r="S36" s="51"/>
      <c r="T36" s="51"/>
      <c r="U36" s="51"/>
      <c r="V36" s="51"/>
    </row>
    <row r="37" spans="1:22" x14ac:dyDescent="0.25">
      <c r="A37">
        <f>IFERROR('👥 Mitarbeiter'!A38,"")</f>
        <v>0</v>
      </c>
      <c r="B37" t="str">
        <f>IFERROR('👥 Mitarbeiter'!B38&amp;" "&amp;'👥 Mitarbeiter'!C38,"")</f>
        <v xml:space="preserve"> </v>
      </c>
      <c r="C37" s="51"/>
      <c r="D37" s="51"/>
      <c r="E37" s="51"/>
      <c r="F37" s="51"/>
      <c r="G37" s="51"/>
      <c r="H37" s="51"/>
      <c r="I37" s="51"/>
      <c r="J37" s="51"/>
      <c r="K37" s="51"/>
      <c r="L37" s="51"/>
      <c r="M37" s="51"/>
      <c r="N37" s="51"/>
      <c r="O37" s="51"/>
      <c r="P37" s="51"/>
      <c r="Q37" s="51"/>
      <c r="R37" s="51"/>
      <c r="S37" s="51"/>
      <c r="T37" s="51"/>
      <c r="U37" s="51"/>
      <c r="V37" s="51"/>
    </row>
    <row r="38" spans="1:22" x14ac:dyDescent="0.25">
      <c r="A38">
        <f>IFERROR('👥 Mitarbeiter'!A39,"")</f>
        <v>0</v>
      </c>
      <c r="B38" t="str">
        <f>IFERROR('👥 Mitarbeiter'!B39&amp;" "&amp;'👥 Mitarbeiter'!C39,"")</f>
        <v xml:space="preserve"> </v>
      </c>
      <c r="C38" s="51"/>
      <c r="D38" s="51"/>
      <c r="E38" s="51"/>
      <c r="F38" s="51"/>
      <c r="G38" s="51"/>
      <c r="H38" s="51"/>
      <c r="I38" s="51"/>
      <c r="J38" s="51"/>
      <c r="K38" s="51"/>
      <c r="L38" s="51"/>
      <c r="M38" s="51"/>
      <c r="N38" s="51"/>
      <c r="O38" s="51"/>
      <c r="P38" s="51"/>
      <c r="Q38" s="51"/>
      <c r="R38" s="51"/>
      <c r="S38" s="51"/>
      <c r="T38" s="51"/>
      <c r="U38" s="51"/>
      <c r="V38" s="51"/>
    </row>
    <row r="39" spans="1:22" x14ac:dyDescent="0.25">
      <c r="A39">
        <f>IFERROR('👥 Mitarbeiter'!A40,"")</f>
        <v>0</v>
      </c>
      <c r="B39" t="str">
        <f>IFERROR('👥 Mitarbeiter'!B40&amp;" "&amp;'👥 Mitarbeiter'!C40,"")</f>
        <v xml:space="preserve"> </v>
      </c>
      <c r="C39" s="51"/>
      <c r="D39" s="51"/>
      <c r="E39" s="51"/>
      <c r="F39" s="51"/>
      <c r="G39" s="51"/>
      <c r="H39" s="51"/>
      <c r="I39" s="51"/>
      <c r="J39" s="51"/>
      <c r="K39" s="51"/>
      <c r="L39" s="51"/>
      <c r="M39" s="51"/>
      <c r="N39" s="51"/>
      <c r="O39" s="51"/>
      <c r="P39" s="51"/>
      <c r="Q39" s="51"/>
      <c r="R39" s="51"/>
      <c r="S39" s="51"/>
      <c r="T39" s="51"/>
      <c r="U39" s="51"/>
      <c r="V39" s="51"/>
    </row>
    <row r="40" spans="1:22" x14ac:dyDescent="0.25">
      <c r="A40">
        <f>IFERROR('👥 Mitarbeiter'!A41,"")</f>
        <v>0</v>
      </c>
      <c r="B40" t="str">
        <f>IFERROR('👥 Mitarbeiter'!B41&amp;" "&amp;'👥 Mitarbeiter'!C41,"")</f>
        <v xml:space="preserve"> </v>
      </c>
      <c r="C40" s="51"/>
      <c r="D40" s="51"/>
      <c r="E40" s="51"/>
      <c r="F40" s="51"/>
      <c r="G40" s="51"/>
      <c r="H40" s="51"/>
      <c r="I40" s="51"/>
      <c r="J40" s="51"/>
      <c r="K40" s="51"/>
      <c r="L40" s="51"/>
      <c r="M40" s="51"/>
      <c r="N40" s="51"/>
      <c r="O40" s="51"/>
      <c r="P40" s="51"/>
      <c r="Q40" s="51"/>
      <c r="R40" s="51"/>
      <c r="S40" s="51"/>
      <c r="T40" s="51"/>
      <c r="U40" s="51"/>
      <c r="V40" s="51"/>
    </row>
    <row r="41" spans="1:22" x14ac:dyDescent="0.25">
      <c r="A41">
        <f>IFERROR('👥 Mitarbeiter'!A42,"")</f>
        <v>0</v>
      </c>
      <c r="B41" t="str">
        <f>IFERROR('👥 Mitarbeiter'!B42&amp;" "&amp;'👥 Mitarbeiter'!C42,"")</f>
        <v xml:space="preserve"> </v>
      </c>
      <c r="C41" s="51"/>
      <c r="D41" s="51"/>
      <c r="E41" s="51"/>
      <c r="F41" s="51"/>
      <c r="G41" s="51"/>
      <c r="H41" s="51"/>
      <c r="I41" s="51"/>
      <c r="J41" s="51"/>
      <c r="K41" s="51"/>
      <c r="L41" s="51"/>
      <c r="M41" s="51"/>
      <c r="N41" s="51"/>
      <c r="O41" s="51"/>
      <c r="P41" s="51"/>
      <c r="Q41" s="51"/>
      <c r="R41" s="51"/>
      <c r="S41" s="51"/>
      <c r="T41" s="51"/>
      <c r="U41" s="51"/>
      <c r="V41" s="51"/>
    </row>
    <row r="42" spans="1:22" x14ac:dyDescent="0.25">
      <c r="A42">
        <f>IFERROR('👥 Mitarbeiter'!A43,"")</f>
        <v>0</v>
      </c>
      <c r="B42" t="str">
        <f>IFERROR('👥 Mitarbeiter'!B43&amp;" "&amp;'👥 Mitarbeiter'!C43,"")</f>
        <v xml:space="preserve"> </v>
      </c>
      <c r="C42" s="51"/>
      <c r="D42" s="51"/>
      <c r="E42" s="51"/>
      <c r="F42" s="51"/>
      <c r="G42" s="51"/>
      <c r="H42" s="51"/>
      <c r="I42" s="51"/>
      <c r="J42" s="51"/>
      <c r="K42" s="51"/>
      <c r="L42" s="51"/>
      <c r="M42" s="51"/>
      <c r="N42" s="51"/>
      <c r="O42" s="51"/>
      <c r="P42" s="51"/>
      <c r="Q42" s="51"/>
      <c r="R42" s="51"/>
      <c r="S42" s="51"/>
      <c r="T42" s="51"/>
      <c r="U42" s="51"/>
      <c r="V42" s="51"/>
    </row>
    <row r="43" spans="1:22" x14ac:dyDescent="0.25">
      <c r="A43">
        <f>IFERROR('👥 Mitarbeiter'!A44,"")</f>
        <v>0</v>
      </c>
      <c r="B43" t="str">
        <f>IFERROR('👥 Mitarbeiter'!B44&amp;" "&amp;'👥 Mitarbeiter'!C44,"")</f>
        <v xml:space="preserve"> </v>
      </c>
      <c r="C43" s="51"/>
      <c r="D43" s="51"/>
      <c r="E43" s="51"/>
      <c r="F43" s="51"/>
      <c r="G43" s="51"/>
      <c r="H43" s="51"/>
      <c r="I43" s="51"/>
      <c r="J43" s="51"/>
      <c r="K43" s="51"/>
      <c r="L43" s="51"/>
      <c r="M43" s="51"/>
      <c r="N43" s="51"/>
      <c r="O43" s="51"/>
      <c r="P43" s="51"/>
      <c r="Q43" s="51"/>
      <c r="R43" s="51"/>
      <c r="S43" s="51"/>
      <c r="T43" s="51"/>
      <c r="U43" s="51"/>
      <c r="V43" s="51"/>
    </row>
    <row r="44" spans="1:22" x14ac:dyDescent="0.25">
      <c r="A44">
        <f>IFERROR('👥 Mitarbeiter'!A45,"")</f>
        <v>0</v>
      </c>
      <c r="B44" t="str">
        <f>IFERROR('👥 Mitarbeiter'!B45&amp;" "&amp;'👥 Mitarbeiter'!C45,"")</f>
        <v xml:space="preserve"> </v>
      </c>
      <c r="C44" s="51"/>
      <c r="D44" s="51"/>
      <c r="E44" s="51"/>
      <c r="F44" s="51"/>
      <c r="G44" s="51"/>
      <c r="H44" s="51"/>
      <c r="I44" s="51"/>
      <c r="J44" s="51"/>
      <c r="K44" s="51"/>
      <c r="L44" s="51"/>
      <c r="M44" s="51"/>
      <c r="N44" s="51"/>
      <c r="O44" s="51"/>
      <c r="P44" s="51"/>
      <c r="Q44" s="51"/>
      <c r="R44" s="51"/>
      <c r="S44" s="51"/>
      <c r="T44" s="51"/>
      <c r="U44" s="51"/>
      <c r="V44" s="51"/>
    </row>
    <row r="45" spans="1:22" x14ac:dyDescent="0.25">
      <c r="A45">
        <f>IFERROR('👥 Mitarbeiter'!A46,"")</f>
        <v>0</v>
      </c>
      <c r="B45" t="str">
        <f>IFERROR('👥 Mitarbeiter'!B46&amp;" "&amp;'👥 Mitarbeiter'!C46,"")</f>
        <v xml:space="preserve"> </v>
      </c>
      <c r="C45" s="51"/>
      <c r="D45" s="51"/>
      <c r="E45" s="51"/>
      <c r="F45" s="51"/>
      <c r="G45" s="51"/>
      <c r="H45" s="51"/>
      <c r="I45" s="51"/>
      <c r="J45" s="51"/>
      <c r="K45" s="51"/>
      <c r="L45" s="51"/>
      <c r="M45" s="51"/>
      <c r="N45" s="51"/>
      <c r="O45" s="51"/>
      <c r="P45" s="51"/>
      <c r="Q45" s="51"/>
      <c r="R45" s="51"/>
      <c r="S45" s="51"/>
      <c r="T45" s="51"/>
      <c r="U45" s="51"/>
      <c r="V45" s="51"/>
    </row>
    <row r="46" spans="1:22" x14ac:dyDescent="0.25">
      <c r="A46">
        <f>IFERROR('👥 Mitarbeiter'!A47,"")</f>
        <v>0</v>
      </c>
      <c r="B46" t="str">
        <f>IFERROR('👥 Mitarbeiter'!B47&amp;" "&amp;'👥 Mitarbeiter'!C47,"")</f>
        <v xml:space="preserve"> </v>
      </c>
      <c r="C46" s="51"/>
      <c r="D46" s="51"/>
      <c r="E46" s="51"/>
      <c r="F46" s="51"/>
      <c r="G46" s="51"/>
      <c r="H46" s="51"/>
      <c r="I46" s="51"/>
      <c r="J46" s="51"/>
      <c r="K46" s="51"/>
      <c r="L46" s="51"/>
      <c r="M46" s="51"/>
      <c r="N46" s="51"/>
      <c r="O46" s="51"/>
      <c r="P46" s="51"/>
      <c r="Q46" s="51"/>
      <c r="R46" s="51"/>
      <c r="S46" s="51"/>
      <c r="T46" s="51"/>
      <c r="U46" s="51"/>
      <c r="V46" s="51"/>
    </row>
    <row r="47" spans="1:22" x14ac:dyDescent="0.25">
      <c r="A47">
        <f>IFERROR('👥 Mitarbeiter'!A48,"")</f>
        <v>0</v>
      </c>
      <c r="B47" t="str">
        <f>IFERROR('👥 Mitarbeiter'!B48&amp;" "&amp;'👥 Mitarbeiter'!C48,"")</f>
        <v xml:space="preserve"> </v>
      </c>
      <c r="C47" s="51"/>
      <c r="D47" s="51"/>
      <c r="E47" s="51"/>
      <c r="F47" s="51"/>
      <c r="G47" s="51"/>
      <c r="H47" s="51"/>
      <c r="I47" s="51"/>
      <c r="J47" s="51"/>
      <c r="K47" s="51"/>
      <c r="L47" s="51"/>
      <c r="M47" s="51"/>
      <c r="N47" s="51"/>
      <c r="O47" s="51"/>
      <c r="P47" s="51"/>
      <c r="Q47" s="51"/>
      <c r="R47" s="51"/>
      <c r="S47" s="51"/>
      <c r="T47" s="51"/>
      <c r="U47" s="51"/>
      <c r="V47" s="51"/>
    </row>
    <row r="48" spans="1:22" x14ac:dyDescent="0.25">
      <c r="A48">
        <f>IFERROR('👥 Mitarbeiter'!A49,"")</f>
        <v>0</v>
      </c>
      <c r="B48" t="str">
        <f>IFERROR('👥 Mitarbeiter'!B49&amp;" "&amp;'👥 Mitarbeiter'!C49,"")</f>
        <v xml:space="preserve"> </v>
      </c>
      <c r="C48" s="51"/>
      <c r="D48" s="51"/>
      <c r="E48" s="51"/>
      <c r="F48" s="51"/>
      <c r="G48" s="51"/>
      <c r="H48" s="51"/>
      <c r="I48" s="51"/>
      <c r="J48" s="51"/>
      <c r="K48" s="51"/>
      <c r="L48" s="51"/>
      <c r="M48" s="51"/>
      <c r="N48" s="51"/>
      <c r="O48" s="51"/>
      <c r="P48" s="51"/>
      <c r="Q48" s="51"/>
      <c r="R48" s="51"/>
      <c r="S48" s="51"/>
      <c r="T48" s="51"/>
      <c r="U48" s="51"/>
      <c r="V48" s="51"/>
    </row>
    <row r="49" spans="1:22" x14ac:dyDescent="0.25">
      <c r="A49">
        <f>IFERROR('👥 Mitarbeiter'!A50,"")</f>
        <v>0</v>
      </c>
      <c r="B49" t="str">
        <f>IFERROR('👥 Mitarbeiter'!B50&amp;" "&amp;'👥 Mitarbeiter'!C50,"")</f>
        <v xml:space="preserve"> </v>
      </c>
      <c r="C49" s="51"/>
      <c r="D49" s="51"/>
      <c r="E49" s="51"/>
      <c r="F49" s="51"/>
      <c r="G49" s="51"/>
      <c r="H49" s="51"/>
      <c r="I49" s="51"/>
      <c r="J49" s="51"/>
      <c r="K49" s="51"/>
      <c r="L49" s="51"/>
      <c r="M49" s="51"/>
      <c r="N49" s="51"/>
      <c r="O49" s="51"/>
      <c r="P49" s="51"/>
      <c r="Q49" s="51"/>
      <c r="R49" s="51"/>
      <c r="S49" s="51"/>
      <c r="T49" s="51"/>
      <c r="U49" s="51"/>
      <c r="V49" s="51"/>
    </row>
    <row r="50" spans="1:22" x14ac:dyDescent="0.25">
      <c r="A50">
        <f>IFERROR('👥 Mitarbeiter'!A51,"")</f>
        <v>0</v>
      </c>
      <c r="B50" t="str">
        <f>IFERROR('👥 Mitarbeiter'!B51&amp;" "&amp;'👥 Mitarbeiter'!C51,"")</f>
        <v xml:space="preserve"> </v>
      </c>
      <c r="C50" s="51"/>
      <c r="D50" s="51"/>
      <c r="E50" s="51"/>
      <c r="F50" s="51"/>
      <c r="G50" s="51"/>
      <c r="H50" s="51"/>
      <c r="I50" s="51"/>
      <c r="J50" s="51"/>
      <c r="K50" s="51"/>
      <c r="L50" s="51"/>
      <c r="M50" s="51"/>
      <c r="N50" s="51"/>
      <c r="O50" s="51"/>
      <c r="P50" s="51"/>
      <c r="Q50" s="51"/>
      <c r="R50" s="51"/>
      <c r="S50" s="51"/>
      <c r="T50" s="51"/>
      <c r="U50" s="51"/>
      <c r="V50" s="51"/>
    </row>
    <row r="51" spans="1:22" x14ac:dyDescent="0.25">
      <c r="A51">
        <f>IFERROR('👥 Mitarbeiter'!A52,"")</f>
        <v>0</v>
      </c>
      <c r="B51" t="str">
        <f>IFERROR('👥 Mitarbeiter'!B52&amp;" "&amp;'👥 Mitarbeiter'!C52,"")</f>
        <v xml:space="preserve"> </v>
      </c>
      <c r="C51" s="51"/>
      <c r="D51" s="51"/>
      <c r="E51" s="51"/>
      <c r="F51" s="51"/>
      <c r="G51" s="51"/>
      <c r="H51" s="51"/>
      <c r="I51" s="51"/>
      <c r="J51" s="51"/>
      <c r="K51" s="51"/>
      <c r="L51" s="51"/>
      <c r="M51" s="51"/>
      <c r="N51" s="51"/>
      <c r="O51" s="51"/>
      <c r="P51" s="51"/>
      <c r="Q51" s="51"/>
      <c r="R51" s="51"/>
      <c r="S51" s="51"/>
      <c r="T51" s="51"/>
      <c r="U51" s="51"/>
      <c r="V51" s="51"/>
    </row>
    <row r="52" spans="1:22" x14ac:dyDescent="0.25">
      <c r="A52">
        <f>IFERROR('👥 Mitarbeiter'!A53,"")</f>
        <v>0</v>
      </c>
      <c r="B52" t="str">
        <f>IFERROR('👥 Mitarbeiter'!B53&amp;" "&amp;'👥 Mitarbeiter'!C53,"")</f>
        <v xml:space="preserve"> </v>
      </c>
      <c r="C52" s="51"/>
      <c r="D52" s="51"/>
      <c r="E52" s="51"/>
      <c r="F52" s="51"/>
      <c r="G52" s="51"/>
      <c r="H52" s="51"/>
      <c r="I52" s="51"/>
      <c r="J52" s="51"/>
      <c r="K52" s="51"/>
      <c r="L52" s="51"/>
      <c r="M52" s="51"/>
      <c r="N52" s="51"/>
      <c r="O52" s="51"/>
      <c r="P52" s="51"/>
      <c r="Q52" s="51"/>
      <c r="R52" s="51"/>
      <c r="S52" s="51"/>
      <c r="T52" s="51"/>
      <c r="U52" s="51"/>
      <c r="V52" s="51"/>
    </row>
    <row r="53" spans="1:22" x14ac:dyDescent="0.25">
      <c r="A53">
        <f>IFERROR('👥 Mitarbeiter'!A54,"")</f>
        <v>0</v>
      </c>
      <c r="B53" t="str">
        <f>IFERROR('👥 Mitarbeiter'!B54&amp;" "&amp;'👥 Mitarbeiter'!C54,"")</f>
        <v xml:space="preserve"> </v>
      </c>
      <c r="C53" s="51"/>
      <c r="D53" s="51"/>
      <c r="E53" s="51"/>
      <c r="F53" s="51"/>
      <c r="G53" s="51"/>
      <c r="H53" s="51"/>
      <c r="I53" s="51"/>
      <c r="J53" s="51"/>
      <c r="K53" s="51"/>
      <c r="L53" s="51"/>
      <c r="M53" s="51"/>
      <c r="N53" s="51"/>
      <c r="O53" s="51"/>
      <c r="P53" s="51"/>
      <c r="Q53" s="51"/>
      <c r="R53" s="51"/>
      <c r="S53" s="51"/>
      <c r="T53" s="51"/>
      <c r="U53" s="51"/>
      <c r="V53" s="51"/>
    </row>
    <row r="54" spans="1:22" x14ac:dyDescent="0.25">
      <c r="A54">
        <f>IFERROR('👥 Mitarbeiter'!A55,"")</f>
        <v>0</v>
      </c>
      <c r="B54" t="str">
        <f>IFERROR('👥 Mitarbeiter'!B55&amp;" "&amp;'👥 Mitarbeiter'!C55,"")</f>
        <v xml:space="preserve"> </v>
      </c>
      <c r="C54" s="51"/>
      <c r="D54" s="51"/>
      <c r="E54" s="51"/>
      <c r="F54" s="51"/>
      <c r="G54" s="51"/>
      <c r="H54" s="51"/>
      <c r="I54" s="51"/>
      <c r="J54" s="51"/>
      <c r="K54" s="51"/>
      <c r="L54" s="51"/>
      <c r="M54" s="51"/>
      <c r="N54" s="51"/>
      <c r="O54" s="51"/>
      <c r="P54" s="51"/>
      <c r="Q54" s="51"/>
      <c r="R54" s="51"/>
      <c r="S54" s="51"/>
      <c r="T54" s="51"/>
      <c r="U54" s="51"/>
      <c r="V54" s="51"/>
    </row>
    <row r="55" spans="1:22" x14ac:dyDescent="0.25">
      <c r="A55">
        <f>IFERROR('👥 Mitarbeiter'!A56,"")</f>
        <v>0</v>
      </c>
      <c r="B55" t="str">
        <f>IFERROR('👥 Mitarbeiter'!B56&amp;" "&amp;'👥 Mitarbeiter'!C56,"")</f>
        <v xml:space="preserve"> </v>
      </c>
      <c r="C55" s="51"/>
      <c r="D55" s="51"/>
      <c r="E55" s="51"/>
      <c r="F55" s="51"/>
      <c r="G55" s="51"/>
      <c r="H55" s="51"/>
      <c r="I55" s="51"/>
      <c r="J55" s="51"/>
      <c r="K55" s="51"/>
      <c r="L55" s="51"/>
      <c r="M55" s="51"/>
      <c r="N55" s="51"/>
      <c r="O55" s="51"/>
      <c r="P55" s="51"/>
      <c r="Q55" s="51"/>
      <c r="R55" s="51"/>
      <c r="S55" s="51"/>
      <c r="T55" s="51"/>
      <c r="U55" s="51"/>
      <c r="V55" s="51"/>
    </row>
    <row r="56" spans="1:22" x14ac:dyDescent="0.25">
      <c r="A56">
        <f>IFERROR('👥 Mitarbeiter'!A57,"")</f>
        <v>0</v>
      </c>
      <c r="B56" t="str">
        <f>IFERROR('👥 Mitarbeiter'!B57&amp;" "&amp;'👥 Mitarbeiter'!C57,"")</f>
        <v xml:space="preserve"> </v>
      </c>
      <c r="C56" s="51"/>
      <c r="D56" s="51"/>
      <c r="E56" s="51"/>
      <c r="F56" s="51"/>
      <c r="G56" s="51"/>
      <c r="H56" s="51"/>
      <c r="I56" s="51"/>
      <c r="J56" s="51"/>
      <c r="K56" s="51"/>
      <c r="L56" s="51"/>
      <c r="M56" s="51"/>
      <c r="N56" s="51"/>
      <c r="O56" s="51"/>
      <c r="P56" s="51"/>
      <c r="Q56" s="51"/>
      <c r="R56" s="51"/>
      <c r="S56" s="51"/>
      <c r="T56" s="51"/>
      <c r="U56" s="51"/>
      <c r="V56" s="51"/>
    </row>
    <row r="57" spans="1:22" x14ac:dyDescent="0.25">
      <c r="A57">
        <f>IFERROR('👥 Mitarbeiter'!A58,"")</f>
        <v>0</v>
      </c>
      <c r="B57" t="str">
        <f>IFERROR('👥 Mitarbeiter'!B58&amp;" "&amp;'👥 Mitarbeiter'!C58,"")</f>
        <v xml:space="preserve"> </v>
      </c>
      <c r="C57" s="51"/>
      <c r="D57" s="51"/>
      <c r="E57" s="51"/>
      <c r="F57" s="51"/>
      <c r="G57" s="51"/>
      <c r="H57" s="51"/>
      <c r="I57" s="51"/>
      <c r="J57" s="51"/>
      <c r="K57" s="51"/>
      <c r="L57" s="51"/>
      <c r="M57" s="51"/>
      <c r="N57" s="51"/>
      <c r="O57" s="51"/>
      <c r="P57" s="51"/>
      <c r="Q57" s="51"/>
      <c r="R57" s="51"/>
      <c r="S57" s="51"/>
      <c r="T57" s="51"/>
      <c r="U57" s="51"/>
      <c r="V57" s="51"/>
    </row>
    <row r="58" spans="1:22" x14ac:dyDescent="0.25">
      <c r="A58">
        <f>IFERROR('👥 Mitarbeiter'!A59,"")</f>
        <v>0</v>
      </c>
      <c r="B58" t="str">
        <f>IFERROR('👥 Mitarbeiter'!B59&amp;" "&amp;'👥 Mitarbeiter'!C59,"")</f>
        <v xml:space="preserve"> </v>
      </c>
      <c r="C58" s="51"/>
      <c r="D58" s="51"/>
      <c r="E58" s="51"/>
      <c r="F58" s="51"/>
      <c r="G58" s="51"/>
      <c r="H58" s="51"/>
      <c r="I58" s="51"/>
      <c r="J58" s="51"/>
      <c r="K58" s="51"/>
      <c r="L58" s="51"/>
      <c r="M58" s="51"/>
      <c r="N58" s="51"/>
      <c r="O58" s="51"/>
      <c r="P58" s="51"/>
      <c r="Q58" s="51"/>
      <c r="R58" s="51"/>
      <c r="S58" s="51"/>
      <c r="T58" s="51"/>
      <c r="U58" s="51"/>
      <c r="V58" s="51"/>
    </row>
    <row r="59" spans="1:22" x14ac:dyDescent="0.25">
      <c r="A59">
        <f>IFERROR('👥 Mitarbeiter'!A60,"")</f>
        <v>0</v>
      </c>
      <c r="B59" t="str">
        <f>IFERROR('👥 Mitarbeiter'!B60&amp;" "&amp;'👥 Mitarbeiter'!C60,"")</f>
        <v xml:space="preserve"> </v>
      </c>
      <c r="C59" s="51"/>
      <c r="D59" s="51"/>
      <c r="E59" s="51"/>
      <c r="F59" s="51"/>
      <c r="G59" s="51"/>
      <c r="H59" s="51"/>
      <c r="I59" s="51"/>
      <c r="J59" s="51"/>
      <c r="K59" s="51"/>
      <c r="L59" s="51"/>
      <c r="M59" s="51"/>
      <c r="N59" s="51"/>
      <c r="O59" s="51"/>
      <c r="P59" s="51"/>
      <c r="Q59" s="51"/>
      <c r="R59" s="51"/>
      <c r="S59" s="51"/>
      <c r="T59" s="51"/>
      <c r="U59" s="51"/>
      <c r="V59" s="51"/>
    </row>
    <row r="60" spans="1:22" x14ac:dyDescent="0.25">
      <c r="A60">
        <f>IFERROR('👥 Mitarbeiter'!A61,"")</f>
        <v>0</v>
      </c>
      <c r="B60" t="str">
        <f>IFERROR('👥 Mitarbeiter'!B61&amp;" "&amp;'👥 Mitarbeiter'!C61,"")</f>
        <v xml:space="preserve"> </v>
      </c>
      <c r="C60" s="51"/>
      <c r="D60" s="51"/>
      <c r="E60" s="51"/>
      <c r="F60" s="51"/>
      <c r="G60" s="51"/>
      <c r="H60" s="51"/>
      <c r="I60" s="51"/>
      <c r="J60" s="51"/>
      <c r="K60" s="51"/>
      <c r="L60" s="51"/>
      <c r="M60" s="51"/>
      <c r="N60" s="51"/>
      <c r="O60" s="51"/>
      <c r="P60" s="51"/>
      <c r="Q60" s="51"/>
      <c r="R60" s="51"/>
      <c r="S60" s="51"/>
      <c r="T60" s="51"/>
      <c r="U60" s="51"/>
      <c r="V60" s="51"/>
    </row>
    <row r="61" spans="1:22" x14ac:dyDescent="0.25">
      <c r="A61">
        <f>IFERROR('👥 Mitarbeiter'!A62,"")</f>
        <v>0</v>
      </c>
      <c r="B61" t="str">
        <f>IFERROR('👥 Mitarbeiter'!B62&amp;" "&amp;'👥 Mitarbeiter'!C62,"")</f>
        <v xml:space="preserve"> </v>
      </c>
      <c r="C61" s="51"/>
      <c r="D61" s="51"/>
      <c r="E61" s="51"/>
      <c r="F61" s="51"/>
      <c r="G61" s="51"/>
      <c r="H61" s="51"/>
      <c r="I61" s="51"/>
      <c r="J61" s="51"/>
      <c r="K61" s="51"/>
      <c r="L61" s="51"/>
      <c r="M61" s="51"/>
      <c r="N61" s="51"/>
      <c r="O61" s="51"/>
      <c r="P61" s="51"/>
      <c r="Q61" s="51"/>
      <c r="R61" s="51"/>
      <c r="S61" s="51"/>
      <c r="T61" s="51"/>
      <c r="U61" s="51"/>
      <c r="V61" s="51"/>
    </row>
    <row r="62" spans="1:22" x14ac:dyDescent="0.25">
      <c r="A62">
        <f>IFERROR('👥 Mitarbeiter'!A63,"")</f>
        <v>0</v>
      </c>
      <c r="B62" t="str">
        <f>IFERROR('👥 Mitarbeiter'!B63&amp;" "&amp;'👥 Mitarbeiter'!C63,"")</f>
        <v xml:space="preserve"> </v>
      </c>
      <c r="C62" s="51"/>
      <c r="D62" s="51"/>
      <c r="E62" s="51"/>
      <c r="F62" s="51"/>
      <c r="G62" s="51"/>
      <c r="H62" s="51"/>
      <c r="I62" s="51"/>
      <c r="J62" s="51"/>
      <c r="K62" s="51"/>
      <c r="L62" s="51"/>
      <c r="M62" s="51"/>
      <c r="N62" s="51"/>
      <c r="O62" s="51"/>
      <c r="P62" s="51"/>
      <c r="Q62" s="51"/>
      <c r="R62" s="51"/>
      <c r="S62" s="51"/>
      <c r="T62" s="51"/>
      <c r="U62" s="51"/>
      <c r="V62" s="51"/>
    </row>
    <row r="63" spans="1:22" x14ac:dyDescent="0.25">
      <c r="A63">
        <f>IFERROR('👥 Mitarbeiter'!A64,"")</f>
        <v>0</v>
      </c>
      <c r="B63" t="str">
        <f>IFERROR('👥 Mitarbeiter'!B64&amp;" "&amp;'👥 Mitarbeiter'!C64,"")</f>
        <v xml:space="preserve"> </v>
      </c>
      <c r="C63" s="51"/>
      <c r="D63" s="51"/>
      <c r="E63" s="51"/>
      <c r="F63" s="51"/>
      <c r="G63" s="51"/>
      <c r="H63" s="51"/>
      <c r="I63" s="51"/>
      <c r="J63" s="51"/>
      <c r="K63" s="51"/>
      <c r="L63" s="51"/>
      <c r="M63" s="51"/>
      <c r="N63" s="51"/>
      <c r="O63" s="51"/>
      <c r="P63" s="51"/>
      <c r="Q63" s="51"/>
      <c r="R63" s="51"/>
      <c r="S63" s="51"/>
      <c r="T63" s="51"/>
      <c r="U63" s="51"/>
      <c r="V63" s="51"/>
    </row>
    <row r="64" spans="1:22" x14ac:dyDescent="0.25">
      <c r="A64">
        <f>IFERROR('👥 Mitarbeiter'!A65,"")</f>
        <v>0</v>
      </c>
      <c r="B64" t="str">
        <f>IFERROR('👥 Mitarbeiter'!B65&amp;" "&amp;'👥 Mitarbeiter'!C65,"")</f>
        <v xml:space="preserve"> </v>
      </c>
      <c r="C64" s="51"/>
      <c r="D64" s="51"/>
      <c r="E64" s="51"/>
      <c r="F64" s="51"/>
      <c r="G64" s="51"/>
      <c r="H64" s="51"/>
      <c r="I64" s="51"/>
      <c r="J64" s="51"/>
      <c r="K64" s="51"/>
      <c r="L64" s="51"/>
      <c r="M64" s="51"/>
      <c r="N64" s="51"/>
      <c r="O64" s="51"/>
      <c r="P64" s="51"/>
      <c r="Q64" s="51"/>
      <c r="R64" s="51"/>
      <c r="S64" s="51"/>
      <c r="T64" s="51"/>
      <c r="U64" s="51"/>
      <c r="V64" s="51"/>
    </row>
    <row r="65" spans="1:22" x14ac:dyDescent="0.25">
      <c r="A65">
        <f>IFERROR('👥 Mitarbeiter'!A66,"")</f>
        <v>0</v>
      </c>
      <c r="B65" t="str">
        <f>IFERROR('👥 Mitarbeiter'!B66&amp;" "&amp;'👥 Mitarbeiter'!C66,"")</f>
        <v xml:space="preserve"> </v>
      </c>
      <c r="C65" s="51"/>
      <c r="D65" s="51"/>
      <c r="E65" s="51"/>
      <c r="F65" s="51"/>
      <c r="G65" s="51"/>
      <c r="H65" s="51"/>
      <c r="I65" s="51"/>
      <c r="J65" s="51"/>
      <c r="K65" s="51"/>
      <c r="L65" s="51"/>
      <c r="M65" s="51"/>
      <c r="N65" s="51"/>
      <c r="O65" s="51"/>
      <c r="P65" s="51"/>
      <c r="Q65" s="51"/>
      <c r="R65" s="51"/>
      <c r="S65" s="51"/>
      <c r="T65" s="51"/>
      <c r="U65" s="51"/>
      <c r="V65" s="51"/>
    </row>
    <row r="66" spans="1:22" x14ac:dyDescent="0.25">
      <c r="A66">
        <f>IFERROR('👥 Mitarbeiter'!A67,"")</f>
        <v>0</v>
      </c>
      <c r="B66" t="str">
        <f>IFERROR('👥 Mitarbeiter'!B67&amp;" "&amp;'👥 Mitarbeiter'!C67,"")</f>
        <v xml:space="preserve"> </v>
      </c>
      <c r="C66" s="51"/>
      <c r="D66" s="51"/>
      <c r="E66" s="51"/>
      <c r="F66" s="51"/>
      <c r="G66" s="51"/>
      <c r="H66" s="51"/>
      <c r="I66" s="51"/>
      <c r="J66" s="51"/>
      <c r="K66" s="51"/>
      <c r="L66" s="51"/>
      <c r="M66" s="51"/>
      <c r="N66" s="51"/>
      <c r="O66" s="51"/>
      <c r="P66" s="51"/>
      <c r="Q66" s="51"/>
      <c r="R66" s="51"/>
      <c r="S66" s="51"/>
      <c r="T66" s="51"/>
      <c r="U66" s="51"/>
      <c r="V66" s="51"/>
    </row>
    <row r="67" spans="1:22" x14ac:dyDescent="0.25">
      <c r="A67">
        <f>IFERROR('👥 Mitarbeiter'!A68,"")</f>
        <v>0</v>
      </c>
      <c r="B67" t="str">
        <f>IFERROR('👥 Mitarbeiter'!B68&amp;" "&amp;'👥 Mitarbeiter'!C68,"")</f>
        <v xml:space="preserve"> </v>
      </c>
      <c r="C67" s="51"/>
      <c r="D67" s="51"/>
      <c r="E67" s="51"/>
      <c r="F67" s="51"/>
      <c r="G67" s="51"/>
      <c r="H67" s="51"/>
      <c r="I67" s="51"/>
      <c r="J67" s="51"/>
      <c r="K67" s="51"/>
      <c r="L67" s="51"/>
      <c r="M67" s="51"/>
      <c r="N67" s="51"/>
      <c r="O67" s="51"/>
      <c r="P67" s="51"/>
      <c r="Q67" s="51"/>
      <c r="R67" s="51"/>
      <c r="S67" s="51"/>
      <c r="T67" s="51"/>
      <c r="U67" s="51"/>
      <c r="V67" s="51"/>
    </row>
    <row r="68" spans="1:22" x14ac:dyDescent="0.25">
      <c r="A68">
        <f>IFERROR('👥 Mitarbeiter'!A69,"")</f>
        <v>0</v>
      </c>
      <c r="B68" t="str">
        <f>IFERROR('👥 Mitarbeiter'!B69&amp;" "&amp;'👥 Mitarbeiter'!C69,"")</f>
        <v xml:space="preserve"> </v>
      </c>
      <c r="C68" s="51"/>
      <c r="D68" s="51"/>
      <c r="E68" s="51"/>
      <c r="F68" s="51"/>
      <c r="G68" s="51"/>
      <c r="H68" s="51"/>
      <c r="I68" s="51"/>
      <c r="J68" s="51"/>
      <c r="K68" s="51"/>
      <c r="L68" s="51"/>
      <c r="M68" s="51"/>
      <c r="N68" s="51"/>
      <c r="O68" s="51"/>
      <c r="P68" s="51"/>
      <c r="Q68" s="51"/>
      <c r="R68" s="51"/>
      <c r="S68" s="51"/>
      <c r="T68" s="51"/>
      <c r="U68" s="51"/>
      <c r="V68" s="51"/>
    </row>
    <row r="69" spans="1:22" x14ac:dyDescent="0.25">
      <c r="A69">
        <f>IFERROR('👥 Mitarbeiter'!A70,"")</f>
        <v>0</v>
      </c>
      <c r="B69" t="str">
        <f>IFERROR('👥 Mitarbeiter'!B70&amp;" "&amp;'👥 Mitarbeiter'!C70,"")</f>
        <v xml:space="preserve"> </v>
      </c>
      <c r="C69" s="51"/>
      <c r="D69" s="51"/>
      <c r="E69" s="51"/>
      <c r="F69" s="51"/>
      <c r="G69" s="51"/>
      <c r="H69" s="51"/>
      <c r="I69" s="51"/>
      <c r="J69" s="51"/>
      <c r="K69" s="51"/>
      <c r="L69" s="51"/>
      <c r="M69" s="51"/>
      <c r="N69" s="51"/>
      <c r="O69" s="51"/>
      <c r="P69" s="51"/>
      <c r="Q69" s="51"/>
      <c r="R69" s="51"/>
      <c r="S69" s="51"/>
      <c r="T69" s="51"/>
      <c r="U69" s="51"/>
      <c r="V69" s="51"/>
    </row>
    <row r="70" spans="1:22" x14ac:dyDescent="0.25">
      <c r="A70">
        <f>IFERROR('👥 Mitarbeiter'!A71,"")</f>
        <v>0</v>
      </c>
      <c r="B70" t="str">
        <f>IFERROR('👥 Mitarbeiter'!B71&amp;" "&amp;'👥 Mitarbeiter'!C71,"")</f>
        <v xml:space="preserve"> </v>
      </c>
      <c r="C70" s="51"/>
      <c r="D70" s="51"/>
      <c r="E70" s="51"/>
      <c r="F70" s="51"/>
      <c r="G70" s="51"/>
      <c r="H70" s="51"/>
      <c r="I70" s="51"/>
      <c r="J70" s="51"/>
      <c r="K70" s="51"/>
      <c r="L70" s="51"/>
      <c r="M70" s="51"/>
      <c r="N70" s="51"/>
      <c r="O70" s="51"/>
      <c r="P70" s="51"/>
      <c r="Q70" s="51"/>
      <c r="R70" s="51"/>
      <c r="S70" s="51"/>
      <c r="T70" s="51"/>
      <c r="U70" s="51"/>
      <c r="V70" s="51"/>
    </row>
    <row r="71" spans="1:22" x14ac:dyDescent="0.25">
      <c r="A71">
        <f>IFERROR('👥 Mitarbeiter'!A72,"")</f>
        <v>0</v>
      </c>
      <c r="B71" t="str">
        <f>IFERROR('👥 Mitarbeiter'!B72&amp;" "&amp;'👥 Mitarbeiter'!C72,"")</f>
        <v xml:space="preserve"> </v>
      </c>
      <c r="C71" s="51"/>
      <c r="D71" s="51"/>
      <c r="E71" s="51"/>
      <c r="F71" s="51"/>
      <c r="G71" s="51"/>
      <c r="H71" s="51"/>
      <c r="I71" s="51"/>
      <c r="J71" s="51"/>
      <c r="K71" s="51"/>
      <c r="L71" s="51"/>
      <c r="M71" s="51"/>
      <c r="N71" s="51"/>
      <c r="O71" s="51"/>
      <c r="P71" s="51"/>
      <c r="Q71" s="51"/>
      <c r="R71" s="51"/>
      <c r="S71" s="51"/>
      <c r="T71" s="51"/>
      <c r="U71" s="51"/>
      <c r="V71" s="51"/>
    </row>
    <row r="72" spans="1:22" x14ac:dyDescent="0.25">
      <c r="A72">
        <f>IFERROR('👥 Mitarbeiter'!A73,"")</f>
        <v>0</v>
      </c>
      <c r="B72" t="str">
        <f>IFERROR('👥 Mitarbeiter'!B73&amp;" "&amp;'👥 Mitarbeiter'!C73,"")</f>
        <v xml:space="preserve"> </v>
      </c>
      <c r="C72" s="51"/>
      <c r="D72" s="51"/>
      <c r="E72" s="51"/>
      <c r="F72" s="51"/>
      <c r="G72" s="51"/>
      <c r="H72" s="51"/>
      <c r="I72" s="51"/>
      <c r="J72" s="51"/>
      <c r="K72" s="51"/>
      <c r="L72" s="51"/>
      <c r="M72" s="51"/>
      <c r="N72" s="51"/>
      <c r="O72" s="51"/>
      <c r="P72" s="51"/>
      <c r="Q72" s="51"/>
      <c r="R72" s="51"/>
      <c r="S72" s="51"/>
      <c r="T72" s="51"/>
      <c r="U72" s="51"/>
      <c r="V72" s="51"/>
    </row>
    <row r="73" spans="1:22" x14ac:dyDescent="0.25">
      <c r="A73">
        <f>IFERROR('👥 Mitarbeiter'!A74,"")</f>
        <v>0</v>
      </c>
      <c r="B73" t="str">
        <f>IFERROR('👥 Mitarbeiter'!B74&amp;" "&amp;'👥 Mitarbeiter'!C74,"")</f>
        <v xml:space="preserve"> </v>
      </c>
      <c r="C73" s="51"/>
      <c r="D73" s="51"/>
      <c r="E73" s="51"/>
      <c r="F73" s="51"/>
      <c r="G73" s="51"/>
      <c r="H73" s="51"/>
      <c r="I73" s="51"/>
      <c r="J73" s="51"/>
      <c r="K73" s="51"/>
      <c r="L73" s="51"/>
      <c r="M73" s="51"/>
      <c r="N73" s="51"/>
      <c r="O73" s="51"/>
      <c r="P73" s="51"/>
      <c r="Q73" s="51"/>
      <c r="R73" s="51"/>
      <c r="S73" s="51"/>
      <c r="T73" s="51"/>
      <c r="U73" s="51"/>
      <c r="V73" s="51"/>
    </row>
    <row r="74" spans="1:22" x14ac:dyDescent="0.25">
      <c r="A74">
        <f>IFERROR('👥 Mitarbeiter'!A75,"")</f>
        <v>0</v>
      </c>
      <c r="B74" t="str">
        <f>IFERROR('👥 Mitarbeiter'!B75&amp;" "&amp;'👥 Mitarbeiter'!C75,"")</f>
        <v xml:space="preserve"> </v>
      </c>
      <c r="C74" s="51"/>
      <c r="D74" s="51"/>
      <c r="E74" s="51"/>
      <c r="F74" s="51"/>
      <c r="G74" s="51"/>
      <c r="H74" s="51"/>
      <c r="I74" s="51"/>
      <c r="J74" s="51"/>
      <c r="K74" s="51"/>
      <c r="L74" s="51"/>
      <c r="M74" s="51"/>
      <c r="N74" s="51"/>
      <c r="O74" s="51"/>
      <c r="P74" s="51"/>
      <c r="Q74" s="51"/>
      <c r="R74" s="51"/>
      <c r="S74" s="51"/>
      <c r="T74" s="51"/>
      <c r="U74" s="51"/>
      <c r="V74" s="51"/>
    </row>
    <row r="75" spans="1:22" x14ac:dyDescent="0.25">
      <c r="A75">
        <f>IFERROR('👥 Mitarbeiter'!A76,"")</f>
        <v>0</v>
      </c>
      <c r="B75" t="str">
        <f>IFERROR('👥 Mitarbeiter'!B76&amp;" "&amp;'👥 Mitarbeiter'!C76,"")</f>
        <v xml:space="preserve"> </v>
      </c>
      <c r="C75" s="51"/>
      <c r="D75" s="51"/>
      <c r="E75" s="51"/>
      <c r="F75" s="51"/>
      <c r="G75" s="51"/>
      <c r="H75" s="51"/>
      <c r="I75" s="51"/>
      <c r="J75" s="51"/>
      <c r="K75" s="51"/>
      <c r="L75" s="51"/>
      <c r="M75" s="51"/>
      <c r="N75" s="51"/>
      <c r="O75" s="51"/>
      <c r="P75" s="51"/>
      <c r="Q75" s="51"/>
      <c r="R75" s="51"/>
      <c r="S75" s="51"/>
      <c r="T75" s="51"/>
      <c r="U75" s="51"/>
      <c r="V75" s="51"/>
    </row>
    <row r="76" spans="1:22" x14ac:dyDescent="0.25">
      <c r="A76">
        <f>IFERROR('👥 Mitarbeiter'!A77,"")</f>
        <v>0</v>
      </c>
      <c r="B76" t="str">
        <f>IFERROR('👥 Mitarbeiter'!B77&amp;" "&amp;'👥 Mitarbeiter'!C77,"")</f>
        <v xml:space="preserve"> </v>
      </c>
      <c r="C76" s="51"/>
      <c r="D76" s="51"/>
      <c r="E76" s="51"/>
      <c r="F76" s="51"/>
      <c r="G76" s="51"/>
      <c r="H76" s="51"/>
      <c r="I76" s="51"/>
      <c r="J76" s="51"/>
      <c r="K76" s="51"/>
      <c r="L76" s="51"/>
      <c r="M76" s="51"/>
      <c r="N76" s="51"/>
      <c r="O76" s="51"/>
      <c r="P76" s="51"/>
      <c r="Q76" s="51"/>
      <c r="R76" s="51"/>
      <c r="S76" s="51"/>
      <c r="T76" s="51"/>
      <c r="U76" s="51"/>
      <c r="V76" s="51"/>
    </row>
    <row r="77" spans="1:22" x14ac:dyDescent="0.25">
      <c r="A77">
        <f>IFERROR('👥 Mitarbeiter'!A78,"")</f>
        <v>0</v>
      </c>
      <c r="B77" t="str">
        <f>IFERROR('👥 Mitarbeiter'!B78&amp;" "&amp;'👥 Mitarbeiter'!C78,"")</f>
        <v xml:space="preserve"> </v>
      </c>
      <c r="C77" s="51"/>
      <c r="D77" s="51"/>
      <c r="E77" s="51"/>
      <c r="F77" s="51"/>
      <c r="G77" s="51"/>
      <c r="H77" s="51"/>
      <c r="I77" s="51"/>
      <c r="J77" s="51"/>
      <c r="K77" s="51"/>
      <c r="L77" s="51"/>
      <c r="M77" s="51"/>
      <c r="N77" s="51"/>
      <c r="O77" s="51"/>
      <c r="P77" s="51"/>
      <c r="Q77" s="51"/>
      <c r="R77" s="51"/>
      <c r="S77" s="51"/>
      <c r="T77" s="51"/>
      <c r="U77" s="51"/>
      <c r="V77" s="51"/>
    </row>
    <row r="78" spans="1:22" x14ac:dyDescent="0.25">
      <c r="A78">
        <f>IFERROR('👥 Mitarbeiter'!A79,"")</f>
        <v>0</v>
      </c>
      <c r="B78" t="str">
        <f>IFERROR('👥 Mitarbeiter'!B79&amp;" "&amp;'👥 Mitarbeiter'!C79,"")</f>
        <v xml:space="preserve"> </v>
      </c>
      <c r="C78" s="51"/>
      <c r="D78" s="51"/>
      <c r="E78" s="51"/>
      <c r="F78" s="51"/>
      <c r="G78" s="51"/>
      <c r="H78" s="51"/>
      <c r="I78" s="51"/>
      <c r="J78" s="51"/>
      <c r="K78" s="51"/>
      <c r="L78" s="51"/>
      <c r="M78" s="51"/>
      <c r="N78" s="51"/>
      <c r="O78" s="51"/>
      <c r="P78" s="51"/>
      <c r="Q78" s="51"/>
      <c r="R78" s="51"/>
      <c r="S78" s="51"/>
      <c r="T78" s="51"/>
      <c r="U78" s="51"/>
      <c r="V78" s="51"/>
    </row>
    <row r="79" spans="1:22" x14ac:dyDescent="0.25">
      <c r="A79">
        <f>IFERROR('👥 Mitarbeiter'!A80,"")</f>
        <v>0</v>
      </c>
      <c r="B79" t="str">
        <f>IFERROR('👥 Mitarbeiter'!B80&amp;" "&amp;'👥 Mitarbeiter'!C80,"")</f>
        <v xml:space="preserve"> </v>
      </c>
      <c r="C79" s="51"/>
      <c r="D79" s="51"/>
      <c r="E79" s="51"/>
      <c r="F79" s="51"/>
      <c r="G79" s="51"/>
      <c r="H79" s="51"/>
      <c r="I79" s="51"/>
      <c r="J79" s="51"/>
      <c r="K79" s="51"/>
      <c r="L79" s="51"/>
      <c r="M79" s="51"/>
      <c r="N79" s="51"/>
      <c r="O79" s="51"/>
      <c r="P79" s="51"/>
      <c r="Q79" s="51"/>
      <c r="R79" s="51"/>
      <c r="S79" s="51"/>
      <c r="T79" s="51"/>
      <c r="U79" s="51"/>
      <c r="V79" s="51"/>
    </row>
    <row r="80" spans="1:22" x14ac:dyDescent="0.25">
      <c r="A80">
        <f>IFERROR('👥 Mitarbeiter'!A81,"")</f>
        <v>0</v>
      </c>
      <c r="B80" t="str">
        <f>IFERROR('👥 Mitarbeiter'!B81&amp;" "&amp;'👥 Mitarbeiter'!C81,"")</f>
        <v xml:space="preserve"> </v>
      </c>
      <c r="C80" s="51"/>
      <c r="D80" s="51"/>
      <c r="E80" s="51"/>
      <c r="F80" s="51"/>
      <c r="G80" s="51"/>
      <c r="H80" s="51"/>
      <c r="I80" s="51"/>
      <c r="J80" s="51"/>
      <c r="K80" s="51"/>
      <c r="L80" s="51"/>
      <c r="M80" s="51"/>
      <c r="N80" s="51"/>
      <c r="O80" s="51"/>
      <c r="P80" s="51"/>
      <c r="Q80" s="51"/>
      <c r="R80" s="51"/>
      <c r="S80" s="51"/>
      <c r="T80" s="51"/>
      <c r="U80" s="51"/>
      <c r="V80" s="51"/>
    </row>
    <row r="81" spans="1:22" x14ac:dyDescent="0.25">
      <c r="A81">
        <f>IFERROR('👥 Mitarbeiter'!A82,"")</f>
        <v>0</v>
      </c>
      <c r="B81" t="str">
        <f>IFERROR('👥 Mitarbeiter'!B82&amp;" "&amp;'👥 Mitarbeiter'!C82,"")</f>
        <v xml:space="preserve"> </v>
      </c>
      <c r="C81" s="51"/>
      <c r="D81" s="51"/>
      <c r="E81" s="51"/>
      <c r="F81" s="51"/>
      <c r="G81" s="51"/>
      <c r="H81" s="51"/>
      <c r="I81" s="51"/>
      <c r="J81" s="51"/>
      <c r="K81" s="51"/>
      <c r="L81" s="51"/>
      <c r="M81" s="51"/>
      <c r="N81" s="51"/>
      <c r="O81" s="51"/>
      <c r="P81" s="51"/>
      <c r="Q81" s="51"/>
      <c r="R81" s="51"/>
      <c r="S81" s="51"/>
      <c r="T81" s="51"/>
      <c r="U81" s="51"/>
      <c r="V81" s="51"/>
    </row>
    <row r="82" spans="1:22" x14ac:dyDescent="0.25">
      <c r="A82">
        <f>IFERROR('👥 Mitarbeiter'!A83,"")</f>
        <v>0</v>
      </c>
      <c r="B82" t="str">
        <f>IFERROR('👥 Mitarbeiter'!B83&amp;" "&amp;'👥 Mitarbeiter'!C83,"")</f>
        <v xml:space="preserve"> </v>
      </c>
      <c r="C82" s="51"/>
      <c r="D82" s="51"/>
      <c r="E82" s="51"/>
      <c r="F82" s="51"/>
      <c r="G82" s="51"/>
      <c r="H82" s="51"/>
      <c r="I82" s="51"/>
      <c r="J82" s="51"/>
      <c r="K82" s="51"/>
      <c r="L82" s="51"/>
      <c r="M82" s="51"/>
      <c r="N82" s="51"/>
      <c r="O82" s="51"/>
      <c r="P82" s="51"/>
      <c r="Q82" s="51"/>
      <c r="R82" s="51"/>
      <c r="S82" s="51"/>
      <c r="T82" s="51"/>
      <c r="U82" s="51"/>
      <c r="V82" s="51"/>
    </row>
    <row r="83" spans="1:22" x14ac:dyDescent="0.25">
      <c r="A83">
        <f>IFERROR('👥 Mitarbeiter'!A84,"")</f>
        <v>0</v>
      </c>
      <c r="B83" t="str">
        <f>IFERROR('👥 Mitarbeiter'!B84&amp;" "&amp;'👥 Mitarbeiter'!C84,"")</f>
        <v xml:space="preserve"> </v>
      </c>
      <c r="C83" s="51"/>
      <c r="D83" s="51"/>
      <c r="E83" s="51"/>
      <c r="F83" s="51"/>
      <c r="G83" s="51"/>
      <c r="H83" s="51"/>
      <c r="I83" s="51"/>
      <c r="J83" s="51"/>
      <c r="K83" s="51"/>
      <c r="L83" s="51"/>
      <c r="M83" s="51"/>
      <c r="N83" s="51"/>
      <c r="O83" s="51"/>
      <c r="P83" s="51"/>
      <c r="Q83" s="51"/>
      <c r="R83" s="51"/>
      <c r="S83" s="51"/>
      <c r="T83" s="51"/>
      <c r="U83" s="51"/>
      <c r="V83" s="51"/>
    </row>
    <row r="84" spans="1:22" x14ac:dyDescent="0.25">
      <c r="A84">
        <f>IFERROR('👥 Mitarbeiter'!A85,"")</f>
        <v>0</v>
      </c>
      <c r="B84" t="str">
        <f>IFERROR('👥 Mitarbeiter'!B85&amp;" "&amp;'👥 Mitarbeiter'!C85,"")</f>
        <v xml:space="preserve"> </v>
      </c>
      <c r="C84" s="51"/>
      <c r="D84" s="51"/>
      <c r="E84" s="51"/>
      <c r="F84" s="51"/>
      <c r="G84" s="51"/>
      <c r="H84" s="51"/>
      <c r="I84" s="51"/>
      <c r="J84" s="51"/>
      <c r="K84" s="51"/>
      <c r="L84" s="51"/>
      <c r="M84" s="51"/>
      <c r="N84" s="51"/>
      <c r="O84" s="51"/>
      <c r="P84" s="51"/>
      <c r="Q84" s="51"/>
      <c r="R84" s="51"/>
      <c r="S84" s="51"/>
      <c r="T84" s="51"/>
      <c r="U84" s="51"/>
      <c r="V84" s="51"/>
    </row>
    <row r="85" spans="1:22" x14ac:dyDescent="0.25">
      <c r="A85">
        <f>IFERROR('👥 Mitarbeiter'!A86,"")</f>
        <v>0</v>
      </c>
      <c r="B85" t="str">
        <f>IFERROR('👥 Mitarbeiter'!B86&amp;" "&amp;'👥 Mitarbeiter'!C86,"")</f>
        <v xml:space="preserve"> </v>
      </c>
      <c r="C85" s="51"/>
      <c r="D85" s="51"/>
      <c r="E85" s="51"/>
      <c r="F85" s="51"/>
      <c r="G85" s="51"/>
      <c r="H85" s="51"/>
      <c r="I85" s="51"/>
      <c r="J85" s="51"/>
      <c r="K85" s="51"/>
      <c r="L85" s="51"/>
      <c r="M85" s="51"/>
      <c r="N85" s="51"/>
      <c r="O85" s="51"/>
      <c r="P85" s="51"/>
      <c r="Q85" s="51"/>
      <c r="R85" s="51"/>
      <c r="S85" s="51"/>
      <c r="T85" s="51"/>
      <c r="U85" s="51"/>
      <c r="V85" s="51"/>
    </row>
    <row r="86" spans="1:22" x14ac:dyDescent="0.25">
      <c r="A86">
        <f>IFERROR('👥 Mitarbeiter'!A87,"")</f>
        <v>0</v>
      </c>
      <c r="B86" t="str">
        <f>IFERROR('👥 Mitarbeiter'!B87&amp;" "&amp;'👥 Mitarbeiter'!C87,"")</f>
        <v xml:space="preserve"> </v>
      </c>
      <c r="C86" s="51"/>
      <c r="D86" s="51"/>
      <c r="E86" s="51"/>
      <c r="F86" s="51"/>
      <c r="G86" s="51"/>
      <c r="H86" s="51"/>
      <c r="I86" s="51"/>
      <c r="J86" s="51"/>
      <c r="K86" s="51"/>
      <c r="L86" s="51"/>
      <c r="M86" s="51"/>
      <c r="N86" s="51"/>
      <c r="O86" s="51"/>
      <c r="P86" s="51"/>
      <c r="Q86" s="51"/>
      <c r="R86" s="51"/>
      <c r="S86" s="51"/>
      <c r="T86" s="51"/>
      <c r="U86" s="51"/>
      <c r="V86" s="51"/>
    </row>
    <row r="87" spans="1:22" x14ac:dyDescent="0.25">
      <c r="A87">
        <f>IFERROR('👥 Mitarbeiter'!A88,"")</f>
        <v>0</v>
      </c>
      <c r="B87" t="str">
        <f>IFERROR('👥 Mitarbeiter'!B88&amp;" "&amp;'👥 Mitarbeiter'!C88,"")</f>
        <v xml:space="preserve"> </v>
      </c>
      <c r="C87" s="51"/>
      <c r="D87" s="51"/>
      <c r="E87" s="51"/>
      <c r="F87" s="51"/>
      <c r="G87" s="51"/>
      <c r="H87" s="51"/>
      <c r="I87" s="51"/>
      <c r="J87" s="51"/>
      <c r="K87" s="51"/>
      <c r="L87" s="51"/>
      <c r="M87" s="51"/>
      <c r="N87" s="51"/>
      <c r="O87" s="51"/>
      <c r="P87" s="51"/>
      <c r="Q87" s="51"/>
      <c r="R87" s="51"/>
      <c r="S87" s="51"/>
      <c r="T87" s="51"/>
      <c r="U87" s="51"/>
      <c r="V87" s="51"/>
    </row>
    <row r="88" spans="1:22" x14ac:dyDescent="0.25">
      <c r="A88">
        <f>IFERROR('👥 Mitarbeiter'!A89,"")</f>
        <v>0</v>
      </c>
      <c r="B88" t="str">
        <f>IFERROR('👥 Mitarbeiter'!B89&amp;" "&amp;'👥 Mitarbeiter'!C89,"")</f>
        <v xml:space="preserve"> </v>
      </c>
      <c r="C88" s="51"/>
      <c r="D88" s="51"/>
      <c r="E88" s="51"/>
      <c r="F88" s="51"/>
      <c r="G88" s="51"/>
      <c r="H88" s="51"/>
      <c r="I88" s="51"/>
      <c r="J88" s="51"/>
      <c r="K88" s="51"/>
      <c r="L88" s="51"/>
      <c r="M88" s="51"/>
      <c r="N88" s="51"/>
      <c r="O88" s="51"/>
      <c r="P88" s="51"/>
      <c r="Q88" s="51"/>
      <c r="R88" s="51"/>
      <c r="S88" s="51"/>
      <c r="T88" s="51"/>
      <c r="U88" s="51"/>
      <c r="V88" s="51"/>
    </row>
    <row r="89" spans="1:22" x14ac:dyDescent="0.25">
      <c r="A89">
        <f>IFERROR('👥 Mitarbeiter'!A90,"")</f>
        <v>0</v>
      </c>
      <c r="B89" t="str">
        <f>IFERROR('👥 Mitarbeiter'!B90&amp;" "&amp;'👥 Mitarbeiter'!C90,"")</f>
        <v xml:space="preserve"> </v>
      </c>
      <c r="C89" s="51"/>
      <c r="D89" s="51"/>
      <c r="E89" s="51"/>
      <c r="F89" s="51"/>
      <c r="G89" s="51"/>
      <c r="H89" s="51"/>
      <c r="I89" s="51"/>
      <c r="J89" s="51"/>
      <c r="K89" s="51"/>
      <c r="L89" s="51"/>
      <c r="M89" s="51"/>
      <c r="N89" s="51"/>
      <c r="O89" s="51"/>
      <c r="P89" s="51"/>
      <c r="Q89" s="51"/>
      <c r="R89" s="51"/>
      <c r="S89" s="51"/>
      <c r="T89" s="51"/>
      <c r="U89" s="51"/>
      <c r="V89" s="51"/>
    </row>
    <row r="90" spans="1:22" x14ac:dyDescent="0.25">
      <c r="A90">
        <f>IFERROR('👥 Mitarbeiter'!A91,"")</f>
        <v>0</v>
      </c>
      <c r="B90" t="str">
        <f>IFERROR('👥 Mitarbeiter'!B91&amp;" "&amp;'👥 Mitarbeiter'!C91,"")</f>
        <v xml:space="preserve"> </v>
      </c>
      <c r="C90" s="51"/>
      <c r="D90" s="51"/>
      <c r="E90" s="51"/>
      <c r="F90" s="51"/>
      <c r="G90" s="51"/>
      <c r="H90" s="51"/>
      <c r="I90" s="51"/>
      <c r="J90" s="51"/>
      <c r="K90" s="51"/>
      <c r="L90" s="51"/>
      <c r="M90" s="51"/>
      <c r="N90" s="51"/>
      <c r="O90" s="51"/>
      <c r="P90" s="51"/>
      <c r="Q90" s="51"/>
      <c r="R90" s="51"/>
      <c r="S90" s="51"/>
      <c r="T90" s="51"/>
      <c r="U90" s="51"/>
      <c r="V90" s="51"/>
    </row>
    <row r="91" spans="1:22" x14ac:dyDescent="0.25">
      <c r="A91">
        <f>IFERROR('👥 Mitarbeiter'!A92,"")</f>
        <v>0</v>
      </c>
      <c r="B91" t="str">
        <f>IFERROR('👥 Mitarbeiter'!B92&amp;" "&amp;'👥 Mitarbeiter'!C92,"")</f>
        <v xml:space="preserve"> </v>
      </c>
      <c r="C91" s="51"/>
      <c r="D91" s="51"/>
      <c r="E91" s="51"/>
      <c r="F91" s="51"/>
      <c r="G91" s="51"/>
      <c r="H91" s="51"/>
      <c r="I91" s="51"/>
      <c r="J91" s="51"/>
      <c r="K91" s="51"/>
      <c r="L91" s="51"/>
      <c r="M91" s="51"/>
      <c r="N91" s="51"/>
      <c r="O91" s="51"/>
      <c r="P91" s="51"/>
      <c r="Q91" s="51"/>
      <c r="R91" s="51"/>
      <c r="S91" s="51"/>
      <c r="T91" s="51"/>
      <c r="U91" s="51"/>
      <c r="V91" s="51"/>
    </row>
    <row r="92" spans="1:22" x14ac:dyDescent="0.25">
      <c r="A92">
        <f>IFERROR('👥 Mitarbeiter'!A93,"")</f>
        <v>0</v>
      </c>
      <c r="B92" t="str">
        <f>IFERROR('👥 Mitarbeiter'!B93&amp;" "&amp;'👥 Mitarbeiter'!C93,"")</f>
        <v xml:space="preserve"> </v>
      </c>
      <c r="C92" s="51"/>
      <c r="D92" s="51"/>
      <c r="E92" s="51"/>
      <c r="F92" s="51"/>
      <c r="G92" s="51"/>
      <c r="H92" s="51"/>
      <c r="I92" s="51"/>
      <c r="J92" s="51"/>
      <c r="K92" s="51"/>
      <c r="L92" s="51"/>
      <c r="M92" s="51"/>
      <c r="N92" s="51"/>
      <c r="O92" s="51"/>
      <c r="P92" s="51"/>
      <c r="Q92" s="51"/>
      <c r="R92" s="51"/>
      <c r="S92" s="51"/>
      <c r="T92" s="51"/>
      <c r="U92" s="51"/>
      <c r="V92" s="51"/>
    </row>
    <row r="93" spans="1:22" x14ac:dyDescent="0.25">
      <c r="A93">
        <f>IFERROR('👥 Mitarbeiter'!A94,"")</f>
        <v>0</v>
      </c>
      <c r="B93" t="str">
        <f>IFERROR('👥 Mitarbeiter'!B94&amp;" "&amp;'👥 Mitarbeiter'!C94,"")</f>
        <v xml:space="preserve"> </v>
      </c>
      <c r="C93" s="51"/>
      <c r="D93" s="51"/>
      <c r="E93" s="51"/>
      <c r="F93" s="51"/>
      <c r="G93" s="51"/>
      <c r="H93" s="51"/>
      <c r="I93" s="51"/>
      <c r="J93" s="51"/>
      <c r="K93" s="51"/>
      <c r="L93" s="51"/>
      <c r="M93" s="51"/>
      <c r="N93" s="51"/>
      <c r="O93" s="51"/>
      <c r="P93" s="51"/>
      <c r="Q93" s="51"/>
      <c r="R93" s="51"/>
      <c r="S93" s="51"/>
      <c r="T93" s="51"/>
      <c r="U93" s="51"/>
      <c r="V93" s="51"/>
    </row>
    <row r="94" spans="1:22" x14ac:dyDescent="0.25">
      <c r="A94">
        <f>IFERROR('👥 Mitarbeiter'!A95,"")</f>
        <v>0</v>
      </c>
      <c r="B94" t="str">
        <f>IFERROR('👥 Mitarbeiter'!B95&amp;" "&amp;'👥 Mitarbeiter'!C95,"")</f>
        <v xml:space="preserve"> </v>
      </c>
      <c r="C94" s="51"/>
      <c r="D94" s="51"/>
      <c r="E94" s="51"/>
      <c r="F94" s="51"/>
      <c r="G94" s="51"/>
      <c r="H94" s="51"/>
      <c r="I94" s="51"/>
      <c r="J94" s="51"/>
      <c r="K94" s="51"/>
      <c r="L94" s="51"/>
      <c r="M94" s="51"/>
      <c r="N94" s="51"/>
      <c r="O94" s="51"/>
      <c r="P94" s="51"/>
      <c r="Q94" s="51"/>
      <c r="R94" s="51"/>
      <c r="S94" s="51"/>
      <c r="T94" s="51"/>
      <c r="U94" s="51"/>
      <c r="V94" s="51"/>
    </row>
    <row r="95" spans="1:22" x14ac:dyDescent="0.25">
      <c r="A95">
        <f>IFERROR('👥 Mitarbeiter'!A96,"")</f>
        <v>0</v>
      </c>
      <c r="B95" t="str">
        <f>IFERROR('👥 Mitarbeiter'!B96&amp;" "&amp;'👥 Mitarbeiter'!C96,"")</f>
        <v xml:space="preserve"> </v>
      </c>
      <c r="C95" s="51"/>
      <c r="D95" s="51"/>
      <c r="E95" s="51"/>
      <c r="F95" s="51"/>
      <c r="G95" s="51"/>
      <c r="H95" s="51"/>
      <c r="I95" s="51"/>
      <c r="J95" s="51"/>
      <c r="K95" s="51"/>
      <c r="L95" s="51"/>
      <c r="M95" s="51"/>
      <c r="N95" s="51"/>
      <c r="O95" s="51"/>
      <c r="P95" s="51"/>
      <c r="Q95" s="51"/>
      <c r="R95" s="51"/>
      <c r="S95" s="51"/>
      <c r="T95" s="51"/>
      <c r="U95" s="51"/>
      <c r="V95" s="51"/>
    </row>
    <row r="96" spans="1:22" x14ac:dyDescent="0.25">
      <c r="A96">
        <f>IFERROR('👥 Mitarbeiter'!A97,"")</f>
        <v>0</v>
      </c>
      <c r="B96" t="str">
        <f>IFERROR('👥 Mitarbeiter'!B97&amp;" "&amp;'👥 Mitarbeiter'!C97,"")</f>
        <v xml:space="preserve"> </v>
      </c>
      <c r="C96" s="51"/>
      <c r="D96" s="51"/>
      <c r="E96" s="51"/>
      <c r="F96" s="51"/>
      <c r="G96" s="51"/>
      <c r="H96" s="51"/>
      <c r="I96" s="51"/>
      <c r="J96" s="51"/>
      <c r="K96" s="51"/>
      <c r="L96" s="51"/>
      <c r="M96" s="51"/>
      <c r="N96" s="51"/>
      <c r="O96" s="51"/>
      <c r="P96" s="51"/>
      <c r="Q96" s="51"/>
      <c r="R96" s="51"/>
      <c r="S96" s="51"/>
      <c r="T96" s="51"/>
      <c r="U96" s="51"/>
      <c r="V96" s="51"/>
    </row>
    <row r="97" spans="1:22" x14ac:dyDescent="0.25">
      <c r="A97">
        <f>IFERROR('👥 Mitarbeiter'!A98,"")</f>
        <v>0</v>
      </c>
      <c r="B97" t="str">
        <f>IFERROR('👥 Mitarbeiter'!B98&amp;" "&amp;'👥 Mitarbeiter'!C98,"")</f>
        <v xml:space="preserve"> </v>
      </c>
      <c r="C97" s="51"/>
      <c r="D97" s="51"/>
      <c r="E97" s="51"/>
      <c r="F97" s="51"/>
      <c r="G97" s="51"/>
      <c r="H97" s="51"/>
      <c r="I97" s="51"/>
      <c r="J97" s="51"/>
      <c r="K97" s="51"/>
      <c r="L97" s="51"/>
      <c r="M97" s="51"/>
      <c r="N97" s="51"/>
      <c r="O97" s="51"/>
      <c r="P97" s="51"/>
      <c r="Q97" s="51"/>
      <c r="R97" s="51"/>
      <c r="S97" s="51"/>
      <c r="T97" s="51"/>
      <c r="U97" s="51"/>
      <c r="V97" s="51"/>
    </row>
    <row r="98" spans="1:22" x14ac:dyDescent="0.25">
      <c r="A98">
        <f>IFERROR('👥 Mitarbeiter'!A99,"")</f>
        <v>0</v>
      </c>
      <c r="B98" t="str">
        <f>IFERROR('👥 Mitarbeiter'!B99&amp;" "&amp;'👥 Mitarbeiter'!C99,"")</f>
        <v xml:space="preserve"> </v>
      </c>
      <c r="C98" s="51"/>
      <c r="D98" s="51"/>
      <c r="E98" s="51"/>
      <c r="F98" s="51"/>
      <c r="G98" s="51"/>
      <c r="H98" s="51"/>
      <c r="I98" s="51"/>
      <c r="J98" s="51"/>
      <c r="K98" s="51"/>
      <c r="L98" s="51"/>
      <c r="M98" s="51"/>
      <c r="N98" s="51"/>
      <c r="O98" s="51"/>
      <c r="P98" s="51"/>
      <c r="Q98" s="51"/>
      <c r="R98" s="51"/>
      <c r="S98" s="51"/>
      <c r="T98" s="51"/>
      <c r="U98" s="51"/>
      <c r="V98" s="51"/>
    </row>
    <row r="99" spans="1:22" x14ac:dyDescent="0.25">
      <c r="A99">
        <f>IFERROR('👥 Mitarbeiter'!A100,"")</f>
        <v>0</v>
      </c>
      <c r="B99" t="str">
        <f>IFERROR('👥 Mitarbeiter'!B100&amp;" "&amp;'👥 Mitarbeiter'!C100,"")</f>
        <v xml:space="preserve"> </v>
      </c>
      <c r="C99" s="51"/>
      <c r="D99" s="51"/>
      <c r="E99" s="51"/>
      <c r="F99" s="51"/>
      <c r="G99" s="51"/>
      <c r="H99" s="51"/>
      <c r="I99" s="51"/>
      <c r="J99" s="51"/>
      <c r="K99" s="51"/>
      <c r="L99" s="51"/>
      <c r="M99" s="51"/>
      <c r="N99" s="51"/>
      <c r="O99" s="51"/>
      <c r="P99" s="51"/>
      <c r="Q99" s="51"/>
      <c r="R99" s="51"/>
      <c r="S99" s="51"/>
      <c r="T99" s="51"/>
      <c r="U99" s="51"/>
      <c r="V99" s="51"/>
    </row>
    <row r="100" spans="1:22" x14ac:dyDescent="0.25">
      <c r="A100">
        <f>IFERROR('👥 Mitarbeiter'!A101,"")</f>
        <v>0</v>
      </c>
      <c r="B100" t="str">
        <f>IFERROR('👥 Mitarbeiter'!B101&amp;" "&amp;'👥 Mitarbeiter'!C101,"")</f>
        <v xml:space="preserve"> </v>
      </c>
      <c r="C100" s="51"/>
      <c r="D100" s="51"/>
      <c r="E100" s="51"/>
      <c r="F100" s="51"/>
      <c r="G100" s="51"/>
      <c r="H100" s="51"/>
      <c r="I100" s="51"/>
      <c r="J100" s="51"/>
      <c r="K100" s="51"/>
      <c r="L100" s="51"/>
      <c r="M100" s="51"/>
      <c r="N100" s="51"/>
      <c r="O100" s="51"/>
      <c r="P100" s="51"/>
      <c r="Q100" s="51"/>
      <c r="R100" s="51"/>
      <c r="S100" s="51"/>
      <c r="T100" s="51"/>
      <c r="U100" s="51"/>
      <c r="V100" s="51"/>
    </row>
    <row r="101" spans="1:22" x14ac:dyDescent="0.25">
      <c r="A101">
        <f>IFERROR('👥 Mitarbeiter'!A102,"")</f>
        <v>0</v>
      </c>
      <c r="B101" t="str">
        <f>IFERROR('👥 Mitarbeiter'!B102&amp;" "&amp;'👥 Mitarbeiter'!C102,"")</f>
        <v xml:space="preserve"> </v>
      </c>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f>IFERROR('👥 Mitarbeiter'!A103,"")</f>
        <v>0</v>
      </c>
      <c r="B102" t="str">
        <f>IFERROR('👥 Mitarbeiter'!B103&amp;" "&amp;'👥 Mitarbeiter'!C103,"")</f>
        <v xml:space="preserve"> </v>
      </c>
      <c r="C102" s="51"/>
      <c r="D102" s="51"/>
      <c r="E102" s="51"/>
      <c r="F102" s="51"/>
      <c r="G102" s="51"/>
      <c r="H102" s="51"/>
      <c r="I102" s="51"/>
      <c r="J102" s="51"/>
      <c r="K102" s="51"/>
      <c r="L102" s="51"/>
      <c r="M102" s="51"/>
      <c r="N102" s="51"/>
      <c r="O102" s="51"/>
      <c r="P102" s="51"/>
      <c r="Q102" s="51"/>
      <c r="R102" s="51"/>
      <c r="S102" s="51"/>
      <c r="T102" s="51"/>
      <c r="U102" s="51"/>
      <c r="V102" s="51"/>
    </row>
    <row r="103" spans="1:22" x14ac:dyDescent="0.25">
      <c r="A103">
        <f>IFERROR('👥 Mitarbeiter'!A104,"")</f>
        <v>0</v>
      </c>
      <c r="B103" t="str">
        <f>IFERROR('👥 Mitarbeiter'!B104&amp;" "&amp;'👥 Mitarbeiter'!C104,"")</f>
        <v xml:space="preserve"> </v>
      </c>
      <c r="C103" s="51"/>
      <c r="D103" s="51"/>
      <c r="E103" s="51"/>
      <c r="F103" s="51"/>
      <c r="G103" s="51"/>
      <c r="H103" s="51"/>
      <c r="I103" s="51"/>
      <c r="J103" s="51"/>
      <c r="K103" s="51"/>
      <c r="L103" s="51"/>
      <c r="M103" s="51"/>
      <c r="N103" s="51"/>
      <c r="O103" s="51"/>
      <c r="P103" s="51"/>
      <c r="Q103" s="51"/>
      <c r="R103" s="51"/>
      <c r="S103" s="51"/>
      <c r="T103" s="51"/>
      <c r="U103" s="51"/>
      <c r="V103" s="51"/>
    </row>
    <row r="104" spans="1:22" x14ac:dyDescent="0.25">
      <c r="A104">
        <f>IFERROR('👥 Mitarbeiter'!A105,"")</f>
        <v>0</v>
      </c>
      <c r="B104" t="str">
        <f>IFERROR('👥 Mitarbeiter'!B105&amp;" "&amp;'👥 Mitarbeiter'!C105,"")</f>
        <v xml:space="preserve"> </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f>IFERROR('👥 Mitarbeiter'!A106,"")</f>
        <v>0</v>
      </c>
      <c r="B105" t="str">
        <f>IFERROR('👥 Mitarbeiter'!B106&amp;" "&amp;'👥 Mitarbeiter'!C106,"")</f>
        <v xml:space="preserve"> </v>
      </c>
      <c r="C105" s="51"/>
      <c r="D105" s="51"/>
      <c r="E105" s="51"/>
      <c r="F105" s="51"/>
      <c r="G105" s="51"/>
      <c r="H105" s="51"/>
      <c r="I105" s="51"/>
      <c r="J105" s="51"/>
      <c r="K105" s="51"/>
      <c r="L105" s="51"/>
      <c r="M105" s="51"/>
      <c r="N105" s="51"/>
      <c r="O105" s="51"/>
      <c r="P105" s="51"/>
      <c r="Q105" s="51"/>
      <c r="R105" s="51"/>
      <c r="S105" s="51"/>
      <c r="T105" s="51"/>
      <c r="U105" s="51"/>
      <c r="V105" s="51"/>
    </row>
    <row r="112" spans="1:22" x14ac:dyDescent="0.25">
      <c r="A112" s="33" t="s">
        <v>136</v>
      </c>
    </row>
    <row r="113" spans="1:1" x14ac:dyDescent="0.25">
      <c r="A113" s="34" t="s">
        <v>137</v>
      </c>
    </row>
  </sheetData>
  <conditionalFormatting sqref="C6:V105">
    <cfRule type="cellIs" dxfId="28" priority="2" operator="equal">
      <formula>0</formula>
    </cfRule>
    <cfRule type="cellIs" dxfId="27" priority="3" operator="equal">
      <formula>1</formula>
    </cfRule>
    <cfRule type="cellIs" dxfId="26" priority="4" operator="equal">
      <formula>2</formula>
    </cfRule>
    <cfRule type="cellIs" dxfId="25" priority="5" operator="equal">
      <formula>3</formula>
    </cfRule>
  </conditionalFormatting>
  <dataValidations count="1">
    <dataValidation type="list" allowBlank="1" errorTitle="Eingabefehler" error="Ungültige Auswahl" sqref="C6:V105">
      <formula1>"0,1,2,3"</formula1>
      <formula2>0</formula2>
    </dataValidation>
  </dataValidations>
  <pageMargins left="0.4" right="0.4" top="0.5" bottom="0.5" header="0.511811023622047" footer="0.511811023622047"/>
  <pageSetup paperSize="8"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8" customWidth="1"/>
    <col min="3" max="3" width="16" customWidth="1"/>
    <col min="4" max="5" width="28" customWidth="1"/>
    <col min="6" max="6" width="14" customWidth="1"/>
    <col min="7" max="7" width="18" customWidth="1"/>
  </cols>
  <sheetData>
    <row r="1" spans="1:29" ht="37.5" customHeight="1" x14ac:dyDescent="0.25">
      <c r="A1" s="15" t="s">
        <v>0</v>
      </c>
      <c r="B1" s="16" t="s">
        <v>226</v>
      </c>
    </row>
    <row r="2" spans="1:29" ht="18" customHeight="1" x14ac:dyDescent="0.25">
      <c r="A2" s="17" t="s">
        <v>2</v>
      </c>
      <c r="B2" s="18" t="s">
        <v>227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68</v>
      </c>
      <c r="B5" s="24" t="s">
        <v>69</v>
      </c>
      <c r="C5" s="24" t="s">
        <v>228</v>
      </c>
      <c r="D5" s="24" t="s">
        <v>149</v>
      </c>
      <c r="E5" s="24" t="s">
        <v>229</v>
      </c>
      <c r="F5" s="24" t="s">
        <v>154</v>
      </c>
      <c r="G5" s="24" t="s">
        <v>230</v>
      </c>
    </row>
    <row r="6" spans="1:29" x14ac:dyDescent="0.25">
      <c r="A6" s="35" t="s">
        <v>231</v>
      </c>
      <c r="B6" s="25" t="s">
        <v>232</v>
      </c>
      <c r="C6" s="35" t="s">
        <v>233</v>
      </c>
      <c r="D6" s="25" t="s">
        <v>74</v>
      </c>
      <c r="E6" s="25" t="s">
        <v>211</v>
      </c>
      <c r="F6" s="35" t="s">
        <v>234</v>
      </c>
      <c r="G6" s="52">
        <v>25</v>
      </c>
    </row>
    <row r="7" spans="1:29" x14ac:dyDescent="0.25">
      <c r="A7" s="35" t="s">
        <v>235</v>
      </c>
      <c r="B7" s="25" t="s">
        <v>236</v>
      </c>
      <c r="C7" s="35" t="s">
        <v>233</v>
      </c>
      <c r="D7" s="25" t="s">
        <v>78</v>
      </c>
      <c r="E7" s="25" t="s">
        <v>212</v>
      </c>
      <c r="F7" s="35" t="s">
        <v>234</v>
      </c>
      <c r="G7" s="52">
        <v>65</v>
      </c>
    </row>
    <row r="8" spans="1:29" x14ac:dyDescent="0.25">
      <c r="A8" s="35" t="s">
        <v>237</v>
      </c>
      <c r="B8" s="25" t="s">
        <v>238</v>
      </c>
      <c r="C8" s="35" t="s">
        <v>239</v>
      </c>
      <c r="D8" s="25" t="s">
        <v>74</v>
      </c>
      <c r="E8" s="25" t="s">
        <v>208</v>
      </c>
      <c r="F8" s="35" t="s">
        <v>234</v>
      </c>
      <c r="G8" s="52">
        <v>18</v>
      </c>
    </row>
    <row r="9" spans="1:29" x14ac:dyDescent="0.25">
      <c r="A9" s="35" t="s">
        <v>240</v>
      </c>
      <c r="B9" s="25" t="s">
        <v>210</v>
      </c>
      <c r="C9" s="35" t="s">
        <v>239</v>
      </c>
      <c r="D9" s="25" t="s">
        <v>82</v>
      </c>
      <c r="E9" s="25" t="s">
        <v>210</v>
      </c>
      <c r="F9" s="35" t="s">
        <v>234</v>
      </c>
      <c r="G9" s="52">
        <v>35</v>
      </c>
    </row>
    <row r="10" spans="1:29" x14ac:dyDescent="0.25">
      <c r="A10" s="35" t="s">
        <v>241</v>
      </c>
      <c r="B10" s="25" t="s">
        <v>242</v>
      </c>
      <c r="C10" s="35" t="s">
        <v>243</v>
      </c>
      <c r="D10" s="25" t="s">
        <v>74</v>
      </c>
      <c r="E10" s="25" t="s">
        <v>215</v>
      </c>
      <c r="F10" s="35" t="s">
        <v>234</v>
      </c>
      <c r="G10" s="52">
        <v>0</v>
      </c>
    </row>
    <row r="11" spans="1:29" x14ac:dyDescent="0.25">
      <c r="A11" s="42"/>
      <c r="B11" s="42"/>
      <c r="C11" s="42"/>
      <c r="D11" s="42"/>
      <c r="E11" s="42"/>
      <c r="F11" s="42"/>
      <c r="G11" s="45"/>
    </row>
    <row r="12" spans="1:29" x14ac:dyDescent="0.25">
      <c r="A12" s="42"/>
      <c r="B12" s="42"/>
      <c r="C12" s="42"/>
      <c r="D12" s="42"/>
      <c r="E12" s="42"/>
      <c r="F12" s="42"/>
      <c r="G12" s="45"/>
    </row>
    <row r="13" spans="1:29" x14ac:dyDescent="0.25">
      <c r="A13" s="42"/>
      <c r="B13" s="42"/>
      <c r="C13" s="42"/>
      <c r="D13" s="42"/>
      <c r="E13" s="42"/>
      <c r="F13" s="42"/>
      <c r="G13" s="45"/>
    </row>
    <row r="14" spans="1:29" x14ac:dyDescent="0.25">
      <c r="A14" s="42"/>
      <c r="B14" s="42"/>
      <c r="C14" s="42"/>
      <c r="D14" s="42"/>
      <c r="E14" s="42"/>
      <c r="F14" s="42"/>
      <c r="G14" s="45"/>
    </row>
    <row r="15" spans="1:29" x14ac:dyDescent="0.25">
      <c r="A15" s="42"/>
      <c r="B15" s="42"/>
      <c r="C15" s="42"/>
      <c r="D15" s="42"/>
      <c r="E15" s="42"/>
      <c r="F15" s="42"/>
      <c r="G15" s="45"/>
    </row>
    <row r="16" spans="1:29" x14ac:dyDescent="0.25">
      <c r="A16" s="42"/>
      <c r="B16" s="42"/>
      <c r="C16" s="42"/>
      <c r="D16" s="42"/>
      <c r="E16" s="42"/>
      <c r="F16" s="42"/>
      <c r="G16" s="45"/>
    </row>
    <row r="17" spans="1:7" x14ac:dyDescent="0.25">
      <c r="A17" s="42"/>
      <c r="B17" s="42"/>
      <c r="C17" s="42"/>
      <c r="D17" s="42"/>
      <c r="E17" s="42"/>
      <c r="F17" s="42"/>
      <c r="G17" s="45"/>
    </row>
    <row r="18" spans="1:7" x14ac:dyDescent="0.25">
      <c r="A18" s="42"/>
      <c r="B18" s="42"/>
      <c r="C18" s="42"/>
      <c r="D18" s="42"/>
      <c r="E18" s="42"/>
      <c r="F18" s="42"/>
      <c r="G18" s="45"/>
    </row>
    <row r="19" spans="1:7" x14ac:dyDescent="0.25">
      <c r="A19" s="42"/>
      <c r="B19" s="42"/>
      <c r="C19" s="42"/>
      <c r="D19" s="42"/>
      <c r="E19" s="42"/>
      <c r="F19" s="42"/>
      <c r="G19" s="45"/>
    </row>
    <row r="20" spans="1:7" x14ac:dyDescent="0.25">
      <c r="A20" s="42"/>
      <c r="B20" s="42"/>
      <c r="C20" s="42"/>
      <c r="D20" s="42"/>
      <c r="E20" s="42"/>
      <c r="F20" s="42"/>
      <c r="G20" s="45"/>
    </row>
    <row r="21" spans="1:7" x14ac:dyDescent="0.25">
      <c r="A21" s="42"/>
      <c r="B21" s="42"/>
      <c r="C21" s="42"/>
      <c r="D21" s="42"/>
      <c r="E21" s="42"/>
      <c r="F21" s="42"/>
      <c r="G21" s="45"/>
    </row>
    <row r="22" spans="1:7" x14ac:dyDescent="0.25">
      <c r="A22" s="42"/>
      <c r="B22" s="42"/>
      <c r="C22" s="42"/>
      <c r="D22" s="42"/>
      <c r="E22" s="42"/>
      <c r="F22" s="42"/>
      <c r="G22" s="45"/>
    </row>
    <row r="23" spans="1:7" x14ac:dyDescent="0.25">
      <c r="A23" s="42"/>
      <c r="B23" s="42"/>
      <c r="C23" s="42"/>
      <c r="D23" s="42"/>
      <c r="E23" s="42"/>
      <c r="F23" s="42"/>
      <c r="G23" s="45"/>
    </row>
    <row r="24" spans="1:7" x14ac:dyDescent="0.25">
      <c r="A24" s="42"/>
      <c r="B24" s="42"/>
      <c r="C24" s="42"/>
      <c r="D24" s="42"/>
      <c r="E24" s="42"/>
      <c r="F24" s="42"/>
      <c r="G24" s="45"/>
    </row>
    <row r="25" spans="1:7" x14ac:dyDescent="0.25">
      <c r="A25" s="42"/>
      <c r="B25" s="42"/>
      <c r="C25" s="42"/>
      <c r="D25" s="42"/>
      <c r="E25" s="42"/>
      <c r="F25" s="42"/>
      <c r="G25" s="45"/>
    </row>
    <row r="26" spans="1:7" x14ac:dyDescent="0.25">
      <c r="A26" s="42"/>
      <c r="B26" s="42"/>
      <c r="C26" s="42"/>
      <c r="D26" s="42"/>
      <c r="E26" s="42"/>
      <c r="F26" s="42"/>
      <c r="G26" s="45"/>
    </row>
    <row r="27" spans="1:7" x14ac:dyDescent="0.25">
      <c r="A27" s="42"/>
      <c r="B27" s="42"/>
      <c r="C27" s="42"/>
      <c r="D27" s="42"/>
      <c r="E27" s="42"/>
      <c r="F27" s="42"/>
      <c r="G27" s="45"/>
    </row>
    <row r="28" spans="1:7" x14ac:dyDescent="0.25">
      <c r="A28" s="42"/>
      <c r="B28" s="42"/>
      <c r="C28" s="42"/>
      <c r="D28" s="42"/>
      <c r="E28" s="42"/>
      <c r="F28" s="42"/>
      <c r="G28" s="45"/>
    </row>
    <row r="29" spans="1:7" x14ac:dyDescent="0.25">
      <c r="A29" s="42"/>
      <c r="B29" s="42"/>
      <c r="C29" s="42"/>
      <c r="D29" s="42"/>
      <c r="E29" s="42"/>
      <c r="F29" s="42"/>
      <c r="G29" s="45"/>
    </row>
    <row r="30" spans="1:7" x14ac:dyDescent="0.25">
      <c r="A30" s="42"/>
      <c r="B30" s="42"/>
      <c r="C30" s="42"/>
      <c r="D30" s="42"/>
      <c r="E30" s="42"/>
      <c r="F30" s="42"/>
      <c r="G30" s="45"/>
    </row>
    <row r="31" spans="1:7" x14ac:dyDescent="0.25">
      <c r="A31" s="42"/>
      <c r="B31" s="42"/>
      <c r="C31" s="42"/>
      <c r="D31" s="42"/>
      <c r="E31" s="42"/>
      <c r="F31" s="42"/>
      <c r="G31" s="45"/>
    </row>
    <row r="32" spans="1:7" x14ac:dyDescent="0.25">
      <c r="A32" s="42"/>
      <c r="B32" s="42"/>
      <c r="C32" s="42"/>
      <c r="D32" s="42"/>
      <c r="E32" s="42"/>
      <c r="F32" s="42"/>
      <c r="G32" s="45"/>
    </row>
    <row r="33" spans="1:7" x14ac:dyDescent="0.25">
      <c r="A33" s="42"/>
      <c r="B33" s="42"/>
      <c r="C33" s="42"/>
      <c r="D33" s="42"/>
      <c r="E33" s="42"/>
      <c r="F33" s="42"/>
      <c r="G33" s="45"/>
    </row>
    <row r="34" spans="1:7" x14ac:dyDescent="0.25">
      <c r="A34" s="42"/>
      <c r="B34" s="42"/>
      <c r="C34" s="42"/>
      <c r="D34" s="42"/>
      <c r="E34" s="42"/>
      <c r="F34" s="42"/>
      <c r="G34" s="45"/>
    </row>
    <row r="35" spans="1:7" x14ac:dyDescent="0.25">
      <c r="A35" s="42"/>
      <c r="B35" s="42"/>
      <c r="C35" s="42"/>
      <c r="D35" s="42"/>
      <c r="E35" s="42"/>
      <c r="F35" s="42"/>
      <c r="G35" s="45"/>
    </row>
    <row r="40" spans="1:7" ht="15" customHeight="1" x14ac:dyDescent="0.25">
      <c r="A40" s="112" t="s">
        <v>244</v>
      </c>
      <c r="B40" s="112"/>
      <c r="C40" s="112"/>
      <c r="D40" s="112"/>
      <c r="E40" s="112"/>
      <c r="F40" s="112"/>
      <c r="G40" s="112"/>
    </row>
    <row r="41" spans="1:7" ht="37.5" customHeight="1" x14ac:dyDescent="0.25">
      <c r="A41" s="113" t="s">
        <v>245</v>
      </c>
      <c r="B41" s="113"/>
      <c r="C41" s="113"/>
      <c r="D41" s="113"/>
      <c r="E41" s="113"/>
      <c r="F41" s="113"/>
      <c r="G41" s="113"/>
    </row>
    <row r="49" spans="1:1" x14ac:dyDescent="0.25">
      <c r="A49" s="33" t="s">
        <v>136</v>
      </c>
    </row>
    <row r="50" spans="1:1" x14ac:dyDescent="0.25">
      <c r="A50" s="34" t="s">
        <v>137</v>
      </c>
    </row>
  </sheetData>
  <mergeCells count="2">
    <mergeCell ref="A40:G40"/>
    <mergeCell ref="A41:G41"/>
  </mergeCells>
  <conditionalFormatting sqref="F6:F35">
    <cfRule type="cellIs" dxfId="24" priority="2" operator="equal">
      <formula>"Verfügbar"</formula>
    </cfRule>
    <cfRule type="cellIs" dxfId="23" priority="3" operator="equal">
      <formula>"In Wartung"</formula>
    </cfRule>
    <cfRule type="cellIs" dxfId="22" priority="4" operator="equal">
      <formula>"Außer Betrieb"</formula>
    </cfRule>
  </conditionalFormatting>
  <dataValidations count="2">
    <dataValidation type="list" allowBlank="1" errorTitle="Eingabefehler" error="Ungültige Auswahl" sqref="C6:C35">
      <formula1>"Fahrzeug,Maschine,Equipment,Werkzeug,Sonstiges"</formula1>
      <formula2>0</formula2>
    </dataValidation>
    <dataValidation type="list" allowBlank="1" errorTitle="Eingabefehler" error="Ungültige Auswahl" sqref="F6:F35">
      <formula1>"Verfügbar,In Wartung,Außer Betrieb"</formula1>
      <formula2>0</formula2>
    </dataValidation>
  </dataValidations>
  <pageMargins left="0.4" right="0.4"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32" customWidth="1"/>
    <col min="3" max="3" width="30" customWidth="1"/>
    <col min="4" max="4" width="12" customWidth="1"/>
  </cols>
  <sheetData>
    <row r="1" spans="1:29" ht="37.5" customHeight="1" x14ac:dyDescent="0.25">
      <c r="A1" s="15" t="s">
        <v>0</v>
      </c>
      <c r="B1" s="16" t="s">
        <v>246</v>
      </c>
    </row>
    <row r="2" spans="1:29" ht="18" customHeight="1" x14ac:dyDescent="0.25">
      <c r="A2" s="17" t="s">
        <v>2</v>
      </c>
      <c r="B2" s="18" t="s">
        <v>247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x14ac:dyDescent="0.25">
      <c r="A5" s="24" t="s">
        <v>248</v>
      </c>
      <c r="B5" s="24" t="s">
        <v>69</v>
      </c>
      <c r="C5" s="24" t="s">
        <v>249</v>
      </c>
      <c r="D5" s="24" t="s">
        <v>250</v>
      </c>
    </row>
    <row r="6" spans="1:29" x14ac:dyDescent="0.25">
      <c r="A6" s="53">
        <v>46023</v>
      </c>
      <c r="B6" s="31" t="s">
        <v>251</v>
      </c>
      <c r="C6" s="31" t="s">
        <v>252</v>
      </c>
      <c r="D6" s="39" t="s">
        <v>161</v>
      </c>
    </row>
    <row r="7" spans="1:29" x14ac:dyDescent="0.25">
      <c r="A7" s="53">
        <v>46028</v>
      </c>
      <c r="B7" s="31" t="s">
        <v>253</v>
      </c>
      <c r="C7" s="31" t="s">
        <v>254</v>
      </c>
      <c r="D7" s="39" t="s">
        <v>161</v>
      </c>
    </row>
    <row r="8" spans="1:29" x14ac:dyDescent="0.25">
      <c r="A8" s="53">
        <v>46089</v>
      </c>
      <c r="B8" s="31" t="s">
        <v>255</v>
      </c>
      <c r="C8" s="31" t="s">
        <v>256</v>
      </c>
      <c r="D8" s="39" t="s">
        <v>161</v>
      </c>
    </row>
    <row r="9" spans="1:29" x14ac:dyDescent="0.25">
      <c r="A9" s="53">
        <v>46115</v>
      </c>
      <c r="B9" s="31" t="s">
        <v>257</v>
      </c>
      <c r="C9" s="31" t="s">
        <v>252</v>
      </c>
      <c r="D9" s="39" t="s">
        <v>161</v>
      </c>
    </row>
    <row r="10" spans="1:29" x14ac:dyDescent="0.25">
      <c r="A10" s="53">
        <v>46118</v>
      </c>
      <c r="B10" s="31" t="s">
        <v>258</v>
      </c>
      <c r="C10" s="31" t="s">
        <v>252</v>
      </c>
      <c r="D10" s="39" t="s">
        <v>161</v>
      </c>
    </row>
    <row r="11" spans="1:29" x14ac:dyDescent="0.25">
      <c r="A11" s="53">
        <v>46143</v>
      </c>
      <c r="B11" s="31" t="s">
        <v>259</v>
      </c>
      <c r="C11" s="31" t="s">
        <v>252</v>
      </c>
      <c r="D11" s="39" t="s">
        <v>161</v>
      </c>
    </row>
    <row r="12" spans="1:29" x14ac:dyDescent="0.25">
      <c r="A12" s="53">
        <v>46156</v>
      </c>
      <c r="B12" s="31" t="s">
        <v>260</v>
      </c>
      <c r="C12" s="31" t="s">
        <v>252</v>
      </c>
      <c r="D12" s="39" t="s">
        <v>161</v>
      </c>
    </row>
    <row r="13" spans="1:29" x14ac:dyDescent="0.25">
      <c r="A13" s="53">
        <v>46167</v>
      </c>
      <c r="B13" s="31" t="s">
        <v>261</v>
      </c>
      <c r="C13" s="31" t="s">
        <v>252</v>
      </c>
      <c r="D13" s="39" t="s">
        <v>161</v>
      </c>
    </row>
    <row r="14" spans="1:29" x14ac:dyDescent="0.25">
      <c r="A14" s="53">
        <v>46177</v>
      </c>
      <c r="B14" s="31" t="s">
        <v>262</v>
      </c>
      <c r="C14" s="31" t="s">
        <v>263</v>
      </c>
      <c r="D14" s="39" t="s">
        <v>161</v>
      </c>
    </row>
    <row r="15" spans="1:29" x14ac:dyDescent="0.25">
      <c r="A15" s="53">
        <v>46242</v>
      </c>
      <c r="B15" s="31" t="s">
        <v>264</v>
      </c>
      <c r="C15" s="31" t="s">
        <v>265</v>
      </c>
      <c r="D15" s="39" t="s">
        <v>161</v>
      </c>
    </row>
    <row r="16" spans="1:29" x14ac:dyDescent="0.25">
      <c r="A16" s="53">
        <v>46249</v>
      </c>
      <c r="B16" s="31" t="s">
        <v>266</v>
      </c>
      <c r="C16" s="31" t="s">
        <v>267</v>
      </c>
      <c r="D16" s="39" t="s">
        <v>161</v>
      </c>
    </row>
    <row r="17" spans="1:4" x14ac:dyDescent="0.25">
      <c r="A17" s="53">
        <v>46285</v>
      </c>
      <c r="B17" s="31" t="s">
        <v>268</v>
      </c>
      <c r="C17" s="31" t="s">
        <v>269</v>
      </c>
      <c r="D17" s="39" t="s">
        <v>161</v>
      </c>
    </row>
    <row r="18" spans="1:4" x14ac:dyDescent="0.25">
      <c r="A18" s="53">
        <v>46298</v>
      </c>
      <c r="B18" s="31" t="s">
        <v>270</v>
      </c>
      <c r="C18" s="31" t="s">
        <v>252</v>
      </c>
      <c r="D18" s="39" t="s">
        <v>161</v>
      </c>
    </row>
    <row r="19" spans="1:4" ht="25.5" x14ac:dyDescent="0.25">
      <c r="A19" s="53">
        <v>46326</v>
      </c>
      <c r="B19" s="31" t="s">
        <v>271</v>
      </c>
      <c r="C19" s="31" t="s">
        <v>272</v>
      </c>
      <c r="D19" s="39" t="s">
        <v>161</v>
      </c>
    </row>
    <row r="20" spans="1:4" x14ac:dyDescent="0.25">
      <c r="A20" s="53">
        <v>46327</v>
      </c>
      <c r="B20" s="31" t="s">
        <v>273</v>
      </c>
      <c r="C20" s="31" t="s">
        <v>274</v>
      </c>
      <c r="D20" s="39" t="s">
        <v>161</v>
      </c>
    </row>
    <row r="21" spans="1:4" x14ac:dyDescent="0.25">
      <c r="A21" s="53">
        <v>46344</v>
      </c>
      <c r="B21" s="31" t="s">
        <v>275</v>
      </c>
      <c r="C21" s="31" t="s">
        <v>276</v>
      </c>
      <c r="D21" s="39" t="s">
        <v>161</v>
      </c>
    </row>
    <row r="22" spans="1:4" x14ac:dyDescent="0.25">
      <c r="A22" s="53">
        <v>46381</v>
      </c>
      <c r="B22" s="31" t="s">
        <v>277</v>
      </c>
      <c r="C22" s="31" t="s">
        <v>252</v>
      </c>
      <c r="D22" s="39" t="s">
        <v>161</v>
      </c>
    </row>
    <row r="23" spans="1:4" x14ac:dyDescent="0.25">
      <c r="A23" s="53">
        <v>46382</v>
      </c>
      <c r="B23" s="31" t="s">
        <v>278</v>
      </c>
      <c r="C23" s="31" t="s">
        <v>252</v>
      </c>
      <c r="D23" s="39" t="s">
        <v>161</v>
      </c>
    </row>
    <row r="26" spans="1:4" ht="15" customHeight="1" x14ac:dyDescent="0.25">
      <c r="A26" s="112" t="s">
        <v>279</v>
      </c>
      <c r="B26" s="112"/>
      <c r="C26" s="112"/>
      <c r="D26" s="112"/>
    </row>
    <row r="27" spans="1:4" ht="37.5" customHeight="1" x14ac:dyDescent="0.25">
      <c r="A27" s="113" t="s">
        <v>280</v>
      </c>
      <c r="B27" s="113"/>
      <c r="C27" s="113"/>
      <c r="D27" s="113"/>
    </row>
    <row r="34" spans="1:1" x14ac:dyDescent="0.25">
      <c r="A34" s="33" t="s">
        <v>136</v>
      </c>
    </row>
    <row r="35" spans="1:1" x14ac:dyDescent="0.25">
      <c r="A35" s="34" t="s">
        <v>137</v>
      </c>
    </row>
  </sheetData>
  <mergeCells count="2">
    <mergeCell ref="A26:D26"/>
    <mergeCell ref="A27:D27"/>
  </mergeCells>
  <pageMargins left="0.4" right="0.4"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5"/>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6" customWidth="1"/>
    <col min="3" max="33" width="4" customWidth="1"/>
  </cols>
  <sheetData>
    <row r="1" spans="1:33" ht="37.5" customHeight="1" x14ac:dyDescent="0.25">
      <c r="A1" s="15" t="s">
        <v>0</v>
      </c>
      <c r="B1" s="16" t="s">
        <v>281</v>
      </c>
    </row>
    <row r="2" spans="1:33" ht="18" customHeight="1" x14ac:dyDescent="0.25">
      <c r="A2" s="17" t="s">
        <v>2</v>
      </c>
      <c r="B2" s="18" t="s">
        <v>282</v>
      </c>
    </row>
    <row r="3" spans="1:33"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33" x14ac:dyDescent="0.25">
      <c r="A4" s="54" t="s">
        <v>283</v>
      </c>
      <c r="B4" s="55">
        <f ca="1">DATE(YEAR(TODAY()),MONTH(TODAY()),1)</f>
        <v>46143</v>
      </c>
    </row>
    <row r="5" spans="1:33" ht="21.75"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row>
    <row r="6" spans="1:33" ht="18" customHeight="1" x14ac:dyDescent="0.25">
      <c r="C6" s="57" t="str">
        <f t="shared" ref="C6:AG6" ca="1" si="0">IF(C5="","",TEXT(C5,"TTT"))</f>
        <v>Fr</v>
      </c>
      <c r="D6" s="57" t="str">
        <f t="shared" ca="1" si="0"/>
        <v>Sa</v>
      </c>
      <c r="E6" s="57" t="str">
        <f t="shared" ca="1" si="0"/>
        <v>So</v>
      </c>
      <c r="F6" s="57" t="str">
        <f t="shared" ca="1" si="0"/>
        <v>Mo</v>
      </c>
      <c r="G6" s="57" t="str">
        <f t="shared" ca="1" si="0"/>
        <v>Di</v>
      </c>
      <c r="H6" s="57" t="str">
        <f t="shared" ca="1" si="0"/>
        <v>Mi</v>
      </c>
      <c r="I6" s="57" t="str">
        <f t="shared" ca="1" si="0"/>
        <v>Do</v>
      </c>
      <c r="J6" s="57" t="str">
        <f t="shared" ca="1" si="0"/>
        <v>Fr</v>
      </c>
      <c r="K6" s="57" t="str">
        <f t="shared" ca="1" si="0"/>
        <v>Sa</v>
      </c>
      <c r="L6" s="57" t="str">
        <f t="shared" ca="1" si="0"/>
        <v>So</v>
      </c>
      <c r="M6" s="57" t="str">
        <f t="shared" ca="1" si="0"/>
        <v>Mo</v>
      </c>
      <c r="N6" s="57" t="str">
        <f t="shared" ca="1" si="0"/>
        <v>Di</v>
      </c>
      <c r="O6" s="57" t="str">
        <f t="shared" ca="1" si="0"/>
        <v>Mi</v>
      </c>
      <c r="P6" s="57" t="str">
        <f t="shared" ca="1" si="0"/>
        <v>Do</v>
      </c>
      <c r="Q6" s="57" t="str">
        <f t="shared" ca="1" si="0"/>
        <v>Fr</v>
      </c>
      <c r="R6" s="57" t="str">
        <f t="shared" ca="1" si="0"/>
        <v>Sa</v>
      </c>
      <c r="S6" s="57" t="str">
        <f t="shared" ca="1" si="0"/>
        <v>So</v>
      </c>
      <c r="T6" s="57" t="str">
        <f t="shared" ca="1" si="0"/>
        <v>Mo</v>
      </c>
      <c r="U6" s="57" t="str">
        <f t="shared" ca="1" si="0"/>
        <v>Di</v>
      </c>
      <c r="V6" s="57" t="str">
        <f t="shared" ca="1" si="0"/>
        <v>Mi</v>
      </c>
      <c r="W6" s="57" t="str">
        <f t="shared" ca="1" si="0"/>
        <v>Do</v>
      </c>
      <c r="X6" s="57" t="str">
        <f t="shared" ca="1" si="0"/>
        <v>Fr</v>
      </c>
      <c r="Y6" s="57" t="str">
        <f t="shared" ca="1" si="0"/>
        <v>Sa</v>
      </c>
      <c r="Z6" s="57" t="str">
        <f t="shared" ca="1" si="0"/>
        <v>So</v>
      </c>
      <c r="AA6" s="57" t="str">
        <f t="shared" ca="1" si="0"/>
        <v>Mo</v>
      </c>
      <c r="AB6" s="57" t="str">
        <f t="shared" ca="1" si="0"/>
        <v>Di</v>
      </c>
      <c r="AC6" s="57" t="str">
        <f t="shared" ca="1" si="0"/>
        <v>Mi</v>
      </c>
      <c r="AD6" s="57" t="str">
        <f t="shared" ca="1" si="0"/>
        <v>Do</v>
      </c>
      <c r="AE6" s="57" t="str">
        <f t="shared" ca="1" si="0"/>
        <v>Fr</v>
      </c>
      <c r="AF6" s="57" t="str">
        <f t="shared" ca="1" si="0"/>
        <v>Sa</v>
      </c>
      <c r="AG6" s="57" t="str">
        <f t="shared" ca="1" si="0"/>
        <v>So</v>
      </c>
    </row>
    <row r="7" spans="1:33" x14ac:dyDescent="0.25">
      <c r="A7" s="47" t="str">
        <f>'👥 Mitarbeiter'!A7</f>
        <v>MA001</v>
      </c>
      <c r="B7" s="47" t="str">
        <f>'👥 Mitarbeiter'!B7&amp;" "&amp;'👥 Mitarbeiter'!C7</f>
        <v>Anna Beispiel</v>
      </c>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x14ac:dyDescent="0.25">
      <c r="A8" s="47" t="str">
        <f>'👥 Mitarbeiter'!A8</f>
        <v>MA002</v>
      </c>
      <c r="B8" s="47" t="str">
        <f>'👥 Mitarbeiter'!B8&amp;" "&amp;'👥 Mitarbeiter'!C8</f>
        <v>Bernd Muster</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x14ac:dyDescent="0.25">
      <c r="A9" s="47" t="str">
        <f>'👥 Mitarbeiter'!A9</f>
        <v>MA003</v>
      </c>
      <c r="B9" s="47" t="str">
        <f>'👥 Mitarbeiter'!B9&amp;" "&amp;'👥 Mitarbeiter'!C9</f>
        <v>Clara Demo</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x14ac:dyDescent="0.25">
      <c r="A10" s="47" t="str">
        <f>'👥 Mitarbeiter'!A10</f>
        <v>MA004</v>
      </c>
      <c r="B10" s="47" t="str">
        <f>'👥 Mitarbeiter'!B10&amp;" "&amp;'👥 Mitarbeiter'!C10</f>
        <v>David Test</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x14ac:dyDescent="0.25">
      <c r="A11" s="47" t="str">
        <f>'👥 Mitarbeiter'!A11</f>
        <v>MA005</v>
      </c>
      <c r="B11" s="47" t="str">
        <f>'👥 Mitarbeiter'!B11&amp;" "&amp;'👥 Mitarbeiter'!C11</f>
        <v>Eva Vorlage</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x14ac:dyDescent="0.25">
      <c r="A12" s="47" t="str">
        <f>'👥 Mitarbeiter'!A12</f>
        <v>MA006</v>
      </c>
      <c r="B12" s="47" t="str">
        <f>'👥 Mitarbeiter'!B12&amp;" "&amp;'👥 Mitarbeiter'!C12</f>
        <v>Frank Schicht</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row>
    <row r="13" spans="1:33" x14ac:dyDescent="0.25">
      <c r="A13" s="47" t="str">
        <f>'👥 Mitarbeiter'!A13</f>
        <v>MA007</v>
      </c>
      <c r="B13" s="47" t="str">
        <f>'👥 Mitarbeiter'!B13&amp;" "&amp;'👥 Mitarbeiter'!C13</f>
        <v>Greta Plan</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x14ac:dyDescent="0.25">
      <c r="A14" s="47" t="str">
        <f>'👥 Mitarbeiter'!A14</f>
        <v>MA008</v>
      </c>
      <c r="B14" s="47" t="str">
        <f>'👥 Mitarbeiter'!B14&amp;" "&amp;'👥 Mitarbeiter'!C14</f>
        <v>Hans Beispiel</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x14ac:dyDescent="0.25">
      <c r="A15" s="47" t="str">
        <f>'👥 Mitarbeiter'!A15</f>
        <v>MA009</v>
      </c>
      <c r="B15" s="47" t="str">
        <f>'👥 Mitarbeiter'!B15&amp;" "&amp;'👥 Mitarbeiter'!C15</f>
        <v>Ina Muster</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x14ac:dyDescent="0.25">
      <c r="A16" s="47" t="str">
        <f>'👥 Mitarbeiter'!A16</f>
        <v>MA010</v>
      </c>
      <c r="B16" s="47" t="str">
        <f>'👥 Mitarbeiter'!B16&amp;" "&amp;'👥 Mitarbeiter'!C16</f>
        <v>Jan Demo</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24" spans="1:1" x14ac:dyDescent="0.25">
      <c r="A24" s="33" t="s">
        <v>136</v>
      </c>
    </row>
    <row r="25" spans="1:1" x14ac:dyDescent="0.25">
      <c r="A25" s="34" t="s">
        <v>137</v>
      </c>
    </row>
  </sheetData>
  <dataValidations count="1">
    <dataValidation type="list" allowBlank="1" showInputMessage="1" errorTitle="Eingabefehler" error="Ungültige Auswahl" promptTitle="Wunsch" prompt="X=Frei | F=Früh | S=Spät | N=Nacht | U=Urlaub | FB=Fortbildung" sqref="C7:AG16">
      <formula1>"X,F,S,N,U,FB"</formula1>
      <formula2>0</formula2>
    </dataValidation>
  </dataValidations>
  <pageMargins left="0.4" right="0.4" top="0.5" bottom="0.5" header="0.511811023622047" footer="0.511811023622047"/>
  <pageSetup paperSize="8"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1"/>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8" customWidth="1"/>
    <col min="4" max="5" width="14" customWidth="1"/>
    <col min="6" max="6" width="12" customWidth="1"/>
    <col min="7" max="7" width="22" customWidth="1"/>
    <col min="8" max="8" width="14" customWidth="1"/>
  </cols>
  <sheetData>
    <row r="1" spans="1:29" ht="37.5" customHeight="1" x14ac:dyDescent="0.25">
      <c r="A1" s="15" t="s">
        <v>0</v>
      </c>
      <c r="B1" s="16" t="s">
        <v>284</v>
      </c>
    </row>
    <row r="2" spans="1:29" ht="18" customHeight="1" x14ac:dyDescent="0.25">
      <c r="A2" s="17" t="s">
        <v>2</v>
      </c>
      <c r="B2" s="18" t="s">
        <v>285</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202</v>
      </c>
      <c r="B5" s="24" t="s">
        <v>203</v>
      </c>
      <c r="C5" s="24" t="s">
        <v>286</v>
      </c>
      <c r="D5" s="24" t="s">
        <v>287</v>
      </c>
      <c r="E5" s="24" t="s">
        <v>288</v>
      </c>
      <c r="F5" s="24" t="s">
        <v>289</v>
      </c>
      <c r="G5" s="24" t="s">
        <v>290</v>
      </c>
      <c r="H5" s="24" t="s">
        <v>291</v>
      </c>
    </row>
    <row r="6" spans="1:29" x14ac:dyDescent="0.25">
      <c r="A6" s="35" t="s">
        <v>156</v>
      </c>
      <c r="B6" s="25" t="s">
        <v>292</v>
      </c>
      <c r="C6" s="35" t="s">
        <v>121</v>
      </c>
      <c r="D6" s="36">
        <v>46160</v>
      </c>
      <c r="E6" s="36">
        <v>46164</v>
      </c>
      <c r="F6" s="30">
        <f t="shared" ref="F6:F37" si="0">IF(D6="","",E6-D6+1)</f>
        <v>5</v>
      </c>
      <c r="G6" s="31"/>
      <c r="H6" s="35" t="s">
        <v>291</v>
      </c>
    </row>
    <row r="7" spans="1:29" x14ac:dyDescent="0.25">
      <c r="A7" s="35" t="s">
        <v>168</v>
      </c>
      <c r="B7" s="25" t="s">
        <v>293</v>
      </c>
      <c r="C7" s="35" t="s">
        <v>123</v>
      </c>
      <c r="D7" s="36">
        <v>46153</v>
      </c>
      <c r="E7" s="36">
        <v>46155</v>
      </c>
      <c r="F7" s="30">
        <f t="shared" si="0"/>
        <v>3</v>
      </c>
      <c r="G7" s="31"/>
      <c r="H7" s="35" t="s">
        <v>294</v>
      </c>
    </row>
    <row r="8" spans="1:29" x14ac:dyDescent="0.25">
      <c r="A8" s="35" t="s">
        <v>177</v>
      </c>
      <c r="B8" s="25" t="s">
        <v>295</v>
      </c>
      <c r="C8" s="35" t="s">
        <v>129</v>
      </c>
      <c r="D8" s="36">
        <v>46170</v>
      </c>
      <c r="E8" s="36">
        <v>46171</v>
      </c>
      <c r="F8" s="30">
        <f t="shared" si="0"/>
        <v>2</v>
      </c>
      <c r="G8" s="31" t="s">
        <v>296</v>
      </c>
      <c r="H8" s="35" t="s">
        <v>291</v>
      </c>
    </row>
    <row r="9" spans="1:29" x14ac:dyDescent="0.25">
      <c r="A9" s="35" t="s">
        <v>190</v>
      </c>
      <c r="B9" s="25" t="s">
        <v>297</v>
      </c>
      <c r="C9" s="35" t="s">
        <v>121</v>
      </c>
      <c r="D9" s="36">
        <v>46174</v>
      </c>
      <c r="E9" s="36">
        <v>46185</v>
      </c>
      <c r="F9" s="30">
        <f t="shared" si="0"/>
        <v>12</v>
      </c>
      <c r="G9" s="31"/>
      <c r="H9" s="35" t="s">
        <v>291</v>
      </c>
    </row>
    <row r="10" spans="1:29" x14ac:dyDescent="0.25">
      <c r="A10" s="42"/>
      <c r="B10" s="42"/>
      <c r="C10" s="42"/>
      <c r="D10" s="43"/>
      <c r="E10" s="43"/>
      <c r="F10" s="42" t="str">
        <f t="shared" si="0"/>
        <v/>
      </c>
      <c r="G10" s="42"/>
      <c r="H10" s="42"/>
    </row>
    <row r="11" spans="1:29" x14ac:dyDescent="0.25">
      <c r="A11" s="42"/>
      <c r="B11" s="42"/>
      <c r="C11" s="42"/>
      <c r="D11" s="43"/>
      <c r="E11" s="43"/>
      <c r="F11" s="42" t="str">
        <f t="shared" si="0"/>
        <v/>
      </c>
      <c r="G11" s="42"/>
      <c r="H11" s="42"/>
    </row>
    <row r="12" spans="1:29" x14ac:dyDescent="0.25">
      <c r="A12" s="42"/>
      <c r="B12" s="42"/>
      <c r="C12" s="42"/>
      <c r="D12" s="43"/>
      <c r="E12" s="43"/>
      <c r="F12" s="42" t="str">
        <f t="shared" si="0"/>
        <v/>
      </c>
      <c r="G12" s="42"/>
      <c r="H12" s="42"/>
    </row>
    <row r="13" spans="1:29" x14ac:dyDescent="0.25">
      <c r="A13" s="42"/>
      <c r="B13" s="42"/>
      <c r="C13" s="42"/>
      <c r="D13" s="43"/>
      <c r="E13" s="43"/>
      <c r="F13" s="42" t="str">
        <f t="shared" si="0"/>
        <v/>
      </c>
      <c r="G13" s="42"/>
      <c r="H13" s="42"/>
    </row>
    <row r="14" spans="1:29" x14ac:dyDescent="0.25">
      <c r="A14" s="42"/>
      <c r="B14" s="42"/>
      <c r="C14" s="42"/>
      <c r="D14" s="43"/>
      <c r="E14" s="43"/>
      <c r="F14" s="42" t="str">
        <f t="shared" si="0"/>
        <v/>
      </c>
      <c r="G14" s="42"/>
      <c r="H14" s="42"/>
    </row>
    <row r="15" spans="1:29" x14ac:dyDescent="0.25">
      <c r="A15" s="42"/>
      <c r="B15" s="42"/>
      <c r="C15" s="42"/>
      <c r="D15" s="43"/>
      <c r="E15" s="43"/>
      <c r="F15" s="42" t="str">
        <f t="shared" si="0"/>
        <v/>
      </c>
      <c r="G15" s="42"/>
      <c r="H15" s="42"/>
    </row>
    <row r="16" spans="1:29" x14ac:dyDescent="0.25">
      <c r="A16" s="42"/>
      <c r="B16" s="42"/>
      <c r="C16" s="42"/>
      <c r="D16" s="43"/>
      <c r="E16" s="43"/>
      <c r="F16" s="42" t="str">
        <f t="shared" si="0"/>
        <v/>
      </c>
      <c r="G16" s="42"/>
      <c r="H16" s="42"/>
    </row>
    <row r="17" spans="1:8" x14ac:dyDescent="0.25">
      <c r="A17" s="42"/>
      <c r="B17" s="42"/>
      <c r="C17" s="42"/>
      <c r="D17" s="43"/>
      <c r="E17" s="43"/>
      <c r="F17" s="42" t="str">
        <f t="shared" si="0"/>
        <v/>
      </c>
      <c r="G17" s="42"/>
      <c r="H17" s="42"/>
    </row>
    <row r="18" spans="1:8" x14ac:dyDescent="0.25">
      <c r="A18" s="42"/>
      <c r="B18" s="42"/>
      <c r="C18" s="42"/>
      <c r="D18" s="43"/>
      <c r="E18" s="43"/>
      <c r="F18" s="42" t="str">
        <f t="shared" si="0"/>
        <v/>
      </c>
      <c r="G18" s="42"/>
      <c r="H18" s="42"/>
    </row>
    <row r="19" spans="1:8" x14ac:dyDescent="0.25">
      <c r="A19" s="42"/>
      <c r="B19" s="42"/>
      <c r="C19" s="42"/>
      <c r="D19" s="43"/>
      <c r="E19" s="43"/>
      <c r="F19" s="42" t="str">
        <f t="shared" si="0"/>
        <v/>
      </c>
      <c r="G19" s="42"/>
      <c r="H19" s="42"/>
    </row>
    <row r="20" spans="1:8" x14ac:dyDescent="0.25">
      <c r="A20" s="42"/>
      <c r="B20" s="42"/>
      <c r="C20" s="42"/>
      <c r="D20" s="43"/>
      <c r="E20" s="43"/>
      <c r="F20" s="42" t="str">
        <f t="shared" si="0"/>
        <v/>
      </c>
      <c r="G20" s="42"/>
      <c r="H20" s="42"/>
    </row>
    <row r="21" spans="1:8" x14ac:dyDescent="0.25">
      <c r="A21" s="42"/>
      <c r="B21" s="42"/>
      <c r="C21" s="42"/>
      <c r="D21" s="43"/>
      <c r="E21" s="43"/>
      <c r="F21" s="42" t="str">
        <f t="shared" si="0"/>
        <v/>
      </c>
      <c r="G21" s="42"/>
      <c r="H21" s="42"/>
    </row>
    <row r="22" spans="1:8" x14ac:dyDescent="0.25">
      <c r="A22" s="42"/>
      <c r="B22" s="42"/>
      <c r="C22" s="42"/>
      <c r="D22" s="43"/>
      <c r="E22" s="43"/>
      <c r="F22" s="42" t="str">
        <f t="shared" si="0"/>
        <v/>
      </c>
      <c r="G22" s="42"/>
      <c r="H22" s="42"/>
    </row>
    <row r="23" spans="1:8" x14ac:dyDescent="0.25">
      <c r="A23" s="42"/>
      <c r="B23" s="42"/>
      <c r="C23" s="42"/>
      <c r="D23" s="43"/>
      <c r="E23" s="43"/>
      <c r="F23" s="42" t="str">
        <f t="shared" si="0"/>
        <v/>
      </c>
      <c r="G23" s="42"/>
      <c r="H23" s="42"/>
    </row>
    <row r="24" spans="1:8" x14ac:dyDescent="0.25">
      <c r="A24" s="42"/>
      <c r="B24" s="42"/>
      <c r="C24" s="42"/>
      <c r="D24" s="43"/>
      <c r="E24" s="43"/>
      <c r="F24" s="42" t="str">
        <f t="shared" si="0"/>
        <v/>
      </c>
      <c r="G24" s="42"/>
      <c r="H24" s="42"/>
    </row>
    <row r="25" spans="1:8" x14ac:dyDescent="0.25">
      <c r="A25" s="42"/>
      <c r="B25" s="42"/>
      <c r="C25" s="42"/>
      <c r="D25" s="43"/>
      <c r="E25" s="43"/>
      <c r="F25" s="42" t="str">
        <f t="shared" si="0"/>
        <v/>
      </c>
      <c r="G25" s="42"/>
      <c r="H25" s="42"/>
    </row>
    <row r="26" spans="1:8" x14ac:dyDescent="0.25">
      <c r="A26" s="42"/>
      <c r="B26" s="42"/>
      <c r="C26" s="42"/>
      <c r="D26" s="43"/>
      <c r="E26" s="43"/>
      <c r="F26" s="42" t="str">
        <f t="shared" si="0"/>
        <v/>
      </c>
      <c r="G26" s="42"/>
      <c r="H26" s="42"/>
    </row>
    <row r="27" spans="1:8" x14ac:dyDescent="0.25">
      <c r="A27" s="42"/>
      <c r="B27" s="42"/>
      <c r="C27" s="42"/>
      <c r="D27" s="43"/>
      <c r="E27" s="43"/>
      <c r="F27" s="42" t="str">
        <f t="shared" si="0"/>
        <v/>
      </c>
      <c r="G27" s="42"/>
      <c r="H27" s="42"/>
    </row>
    <row r="28" spans="1:8" x14ac:dyDescent="0.25">
      <c r="A28" s="42"/>
      <c r="B28" s="42"/>
      <c r="C28" s="42"/>
      <c r="D28" s="43"/>
      <c r="E28" s="43"/>
      <c r="F28" s="42" t="str">
        <f t="shared" si="0"/>
        <v/>
      </c>
      <c r="G28" s="42"/>
      <c r="H28" s="42"/>
    </row>
    <row r="29" spans="1:8" x14ac:dyDescent="0.25">
      <c r="A29" s="42"/>
      <c r="B29" s="42"/>
      <c r="C29" s="42"/>
      <c r="D29" s="43"/>
      <c r="E29" s="43"/>
      <c r="F29" s="42" t="str">
        <f t="shared" si="0"/>
        <v/>
      </c>
      <c r="G29" s="42"/>
      <c r="H29" s="42"/>
    </row>
    <row r="30" spans="1:8" x14ac:dyDescent="0.25">
      <c r="A30" s="42"/>
      <c r="B30" s="42"/>
      <c r="C30" s="42"/>
      <c r="D30" s="43"/>
      <c r="E30" s="43"/>
      <c r="F30" s="42" t="str">
        <f t="shared" si="0"/>
        <v/>
      </c>
      <c r="G30" s="42"/>
      <c r="H30" s="42"/>
    </row>
    <row r="31" spans="1:8" x14ac:dyDescent="0.25">
      <c r="A31" s="42"/>
      <c r="B31" s="42"/>
      <c r="C31" s="42"/>
      <c r="D31" s="43"/>
      <c r="E31" s="43"/>
      <c r="F31" s="42" t="str">
        <f t="shared" si="0"/>
        <v/>
      </c>
      <c r="G31" s="42"/>
      <c r="H31" s="42"/>
    </row>
    <row r="32" spans="1:8" x14ac:dyDescent="0.25">
      <c r="A32" s="42"/>
      <c r="B32" s="42"/>
      <c r="C32" s="42"/>
      <c r="D32" s="43"/>
      <c r="E32" s="43"/>
      <c r="F32" s="42" t="str">
        <f t="shared" si="0"/>
        <v/>
      </c>
      <c r="G32" s="42"/>
      <c r="H32" s="42"/>
    </row>
    <row r="33" spans="1:8" x14ac:dyDescent="0.25">
      <c r="A33" s="42"/>
      <c r="B33" s="42"/>
      <c r="C33" s="42"/>
      <c r="D33" s="43"/>
      <c r="E33" s="43"/>
      <c r="F33" s="42" t="str">
        <f t="shared" si="0"/>
        <v/>
      </c>
      <c r="G33" s="42"/>
      <c r="H33" s="42"/>
    </row>
    <row r="34" spans="1:8" x14ac:dyDescent="0.25">
      <c r="A34" s="42"/>
      <c r="B34" s="42"/>
      <c r="C34" s="42"/>
      <c r="D34" s="43"/>
      <c r="E34" s="43"/>
      <c r="F34" s="42" t="str">
        <f t="shared" si="0"/>
        <v/>
      </c>
      <c r="G34" s="42"/>
      <c r="H34" s="42"/>
    </row>
    <row r="35" spans="1:8" x14ac:dyDescent="0.25">
      <c r="A35" s="42"/>
      <c r="B35" s="42"/>
      <c r="C35" s="42"/>
      <c r="D35" s="43"/>
      <c r="E35" s="43"/>
      <c r="F35" s="42" t="str">
        <f t="shared" si="0"/>
        <v/>
      </c>
      <c r="G35" s="42"/>
      <c r="H35" s="42"/>
    </row>
    <row r="36" spans="1:8" x14ac:dyDescent="0.25">
      <c r="A36" s="42"/>
      <c r="B36" s="42"/>
      <c r="C36" s="42"/>
      <c r="D36" s="43"/>
      <c r="E36" s="43"/>
      <c r="F36" s="42" t="str">
        <f t="shared" si="0"/>
        <v/>
      </c>
      <c r="G36" s="42"/>
      <c r="H36" s="42"/>
    </row>
    <row r="37" spans="1:8" x14ac:dyDescent="0.25">
      <c r="A37" s="42"/>
      <c r="B37" s="42"/>
      <c r="C37" s="42"/>
      <c r="D37" s="43"/>
      <c r="E37" s="43"/>
      <c r="F37" s="42" t="str">
        <f t="shared" si="0"/>
        <v/>
      </c>
      <c r="G37" s="42"/>
      <c r="H37" s="42"/>
    </row>
    <row r="38" spans="1:8" x14ac:dyDescent="0.25">
      <c r="A38" s="42"/>
      <c r="B38" s="42"/>
      <c r="C38" s="42"/>
      <c r="D38" s="43"/>
      <c r="E38" s="43"/>
      <c r="F38" s="42" t="str">
        <f t="shared" ref="F38:F69" si="1">IF(D38="","",E38-D38+1)</f>
        <v/>
      </c>
      <c r="G38" s="42"/>
      <c r="H38" s="42"/>
    </row>
    <row r="39" spans="1:8" x14ac:dyDescent="0.25">
      <c r="A39" s="42"/>
      <c r="B39" s="42"/>
      <c r="C39" s="42"/>
      <c r="D39" s="43"/>
      <c r="E39" s="43"/>
      <c r="F39" s="42" t="str">
        <f t="shared" si="1"/>
        <v/>
      </c>
      <c r="G39" s="42"/>
      <c r="H39" s="42"/>
    </row>
    <row r="40" spans="1:8" x14ac:dyDescent="0.25">
      <c r="A40" s="42"/>
      <c r="B40" s="42"/>
      <c r="C40" s="42"/>
      <c r="D40" s="43"/>
      <c r="E40" s="43"/>
      <c r="F40" s="42" t="str">
        <f t="shared" si="1"/>
        <v/>
      </c>
      <c r="G40" s="42"/>
      <c r="H40" s="42"/>
    </row>
    <row r="41" spans="1:8" x14ac:dyDescent="0.25">
      <c r="A41" s="42"/>
      <c r="B41" s="42"/>
      <c r="C41" s="42"/>
      <c r="D41" s="43"/>
      <c r="E41" s="43"/>
      <c r="F41" s="42" t="str">
        <f t="shared" si="1"/>
        <v/>
      </c>
      <c r="G41" s="42"/>
      <c r="H41" s="42"/>
    </row>
    <row r="42" spans="1:8" x14ac:dyDescent="0.25">
      <c r="A42" s="42"/>
      <c r="B42" s="42"/>
      <c r="C42" s="42"/>
      <c r="D42" s="43"/>
      <c r="E42" s="43"/>
      <c r="F42" s="42" t="str">
        <f t="shared" si="1"/>
        <v/>
      </c>
      <c r="G42" s="42"/>
      <c r="H42" s="42"/>
    </row>
    <row r="43" spans="1:8" x14ac:dyDescent="0.25">
      <c r="A43" s="42"/>
      <c r="B43" s="42"/>
      <c r="C43" s="42"/>
      <c r="D43" s="43"/>
      <c r="E43" s="43"/>
      <c r="F43" s="42" t="str">
        <f t="shared" si="1"/>
        <v/>
      </c>
      <c r="G43" s="42"/>
      <c r="H43" s="42"/>
    </row>
    <row r="44" spans="1:8" x14ac:dyDescent="0.25">
      <c r="A44" s="42"/>
      <c r="B44" s="42"/>
      <c r="C44" s="42"/>
      <c r="D44" s="43"/>
      <c r="E44" s="43"/>
      <c r="F44" s="42" t="str">
        <f t="shared" si="1"/>
        <v/>
      </c>
      <c r="G44" s="42"/>
      <c r="H44" s="42"/>
    </row>
    <row r="45" spans="1:8" x14ac:dyDescent="0.25">
      <c r="A45" s="42"/>
      <c r="B45" s="42"/>
      <c r="C45" s="42"/>
      <c r="D45" s="43"/>
      <c r="E45" s="43"/>
      <c r="F45" s="42" t="str">
        <f t="shared" si="1"/>
        <v/>
      </c>
      <c r="G45" s="42"/>
      <c r="H45" s="42"/>
    </row>
    <row r="46" spans="1:8" x14ac:dyDescent="0.25">
      <c r="A46" s="42"/>
      <c r="B46" s="42"/>
      <c r="C46" s="42"/>
      <c r="D46" s="43"/>
      <c r="E46" s="43"/>
      <c r="F46" s="42" t="str">
        <f t="shared" si="1"/>
        <v/>
      </c>
      <c r="G46" s="42"/>
      <c r="H46" s="42"/>
    </row>
    <row r="47" spans="1:8" x14ac:dyDescent="0.25">
      <c r="A47" s="42"/>
      <c r="B47" s="42"/>
      <c r="C47" s="42"/>
      <c r="D47" s="43"/>
      <c r="E47" s="43"/>
      <c r="F47" s="42" t="str">
        <f t="shared" si="1"/>
        <v/>
      </c>
      <c r="G47" s="42"/>
      <c r="H47" s="42"/>
    </row>
    <row r="48" spans="1:8" x14ac:dyDescent="0.25">
      <c r="A48" s="42"/>
      <c r="B48" s="42"/>
      <c r="C48" s="42"/>
      <c r="D48" s="43"/>
      <c r="E48" s="43"/>
      <c r="F48" s="42" t="str">
        <f t="shared" si="1"/>
        <v/>
      </c>
      <c r="G48" s="42"/>
      <c r="H48" s="42"/>
    </row>
    <row r="49" spans="1:8" x14ac:dyDescent="0.25">
      <c r="A49" s="42"/>
      <c r="B49" s="42"/>
      <c r="C49" s="42"/>
      <c r="D49" s="43"/>
      <c r="E49" s="43"/>
      <c r="F49" s="42" t="str">
        <f t="shared" si="1"/>
        <v/>
      </c>
      <c r="G49" s="42"/>
      <c r="H49" s="42"/>
    </row>
    <row r="50" spans="1:8" x14ac:dyDescent="0.25">
      <c r="A50" s="42"/>
      <c r="B50" s="42"/>
      <c r="C50" s="42"/>
      <c r="D50" s="43"/>
      <c r="E50" s="43"/>
      <c r="F50" s="42" t="str">
        <f t="shared" si="1"/>
        <v/>
      </c>
      <c r="G50" s="42"/>
      <c r="H50" s="42"/>
    </row>
    <row r="51" spans="1:8" x14ac:dyDescent="0.25">
      <c r="A51" s="42"/>
      <c r="B51" s="42"/>
      <c r="C51" s="42"/>
      <c r="D51" s="43"/>
      <c r="E51" s="43"/>
      <c r="F51" s="42" t="str">
        <f t="shared" si="1"/>
        <v/>
      </c>
      <c r="G51" s="42"/>
      <c r="H51" s="42"/>
    </row>
    <row r="52" spans="1:8" x14ac:dyDescent="0.25">
      <c r="A52" s="42"/>
      <c r="B52" s="42"/>
      <c r="C52" s="42"/>
      <c r="D52" s="43"/>
      <c r="E52" s="43"/>
      <c r="F52" s="42" t="str">
        <f t="shared" si="1"/>
        <v/>
      </c>
      <c r="G52" s="42"/>
      <c r="H52" s="42"/>
    </row>
    <row r="53" spans="1:8" x14ac:dyDescent="0.25">
      <c r="A53" s="42"/>
      <c r="B53" s="42"/>
      <c r="C53" s="42"/>
      <c r="D53" s="43"/>
      <c r="E53" s="43"/>
      <c r="F53" s="42" t="str">
        <f t="shared" si="1"/>
        <v/>
      </c>
      <c r="G53" s="42"/>
      <c r="H53" s="42"/>
    </row>
    <row r="54" spans="1:8" x14ac:dyDescent="0.25">
      <c r="A54" s="42"/>
      <c r="B54" s="42"/>
      <c r="C54" s="42"/>
      <c r="D54" s="43"/>
      <c r="E54" s="43"/>
      <c r="F54" s="42" t="str">
        <f t="shared" si="1"/>
        <v/>
      </c>
      <c r="G54" s="42"/>
      <c r="H54" s="42"/>
    </row>
    <row r="55" spans="1:8" x14ac:dyDescent="0.25">
      <c r="A55" s="42"/>
      <c r="B55" s="42"/>
      <c r="C55" s="42"/>
      <c r="D55" s="43"/>
      <c r="E55" s="43"/>
      <c r="F55" s="42" t="str">
        <f t="shared" si="1"/>
        <v/>
      </c>
      <c r="G55" s="42"/>
      <c r="H55" s="42"/>
    </row>
    <row r="56" spans="1:8" x14ac:dyDescent="0.25">
      <c r="A56" s="42"/>
      <c r="B56" s="42"/>
      <c r="C56" s="42"/>
      <c r="D56" s="43"/>
      <c r="E56" s="43"/>
      <c r="F56" s="42" t="str">
        <f t="shared" si="1"/>
        <v/>
      </c>
      <c r="G56" s="42"/>
      <c r="H56" s="42"/>
    </row>
    <row r="57" spans="1:8" x14ac:dyDescent="0.25">
      <c r="A57" s="42"/>
      <c r="B57" s="42"/>
      <c r="C57" s="42"/>
      <c r="D57" s="43"/>
      <c r="E57" s="43"/>
      <c r="F57" s="42" t="str">
        <f t="shared" si="1"/>
        <v/>
      </c>
      <c r="G57" s="42"/>
      <c r="H57" s="42"/>
    </row>
    <row r="58" spans="1:8" x14ac:dyDescent="0.25">
      <c r="A58" s="42"/>
      <c r="B58" s="42"/>
      <c r="C58" s="42"/>
      <c r="D58" s="43"/>
      <c r="E58" s="43"/>
      <c r="F58" s="42" t="str">
        <f t="shared" si="1"/>
        <v/>
      </c>
      <c r="G58" s="42"/>
      <c r="H58" s="42"/>
    </row>
    <row r="59" spans="1:8" x14ac:dyDescent="0.25">
      <c r="A59" s="42"/>
      <c r="B59" s="42"/>
      <c r="C59" s="42"/>
      <c r="D59" s="43"/>
      <c r="E59" s="43"/>
      <c r="F59" s="42" t="str">
        <f t="shared" si="1"/>
        <v/>
      </c>
      <c r="G59" s="42"/>
      <c r="H59" s="42"/>
    </row>
    <row r="60" spans="1:8" x14ac:dyDescent="0.25">
      <c r="A60" s="42"/>
      <c r="B60" s="42"/>
      <c r="C60" s="42"/>
      <c r="D60" s="43"/>
      <c r="E60" s="43"/>
      <c r="F60" s="42" t="str">
        <f t="shared" si="1"/>
        <v/>
      </c>
      <c r="G60" s="42"/>
      <c r="H60" s="42"/>
    </row>
    <row r="61" spans="1:8" x14ac:dyDescent="0.25">
      <c r="A61" s="42"/>
      <c r="B61" s="42"/>
      <c r="C61" s="42"/>
      <c r="D61" s="43"/>
      <c r="E61" s="43"/>
      <c r="F61" s="42" t="str">
        <f t="shared" si="1"/>
        <v/>
      </c>
      <c r="G61" s="42"/>
      <c r="H61" s="42"/>
    </row>
    <row r="62" spans="1:8" x14ac:dyDescent="0.25">
      <c r="A62" s="42"/>
      <c r="B62" s="42"/>
      <c r="C62" s="42"/>
      <c r="D62" s="43"/>
      <c r="E62" s="43"/>
      <c r="F62" s="42" t="str">
        <f t="shared" si="1"/>
        <v/>
      </c>
      <c r="G62" s="42"/>
      <c r="H62" s="42"/>
    </row>
    <row r="63" spans="1:8" x14ac:dyDescent="0.25">
      <c r="A63" s="42"/>
      <c r="B63" s="42"/>
      <c r="C63" s="42"/>
      <c r="D63" s="43"/>
      <c r="E63" s="43"/>
      <c r="F63" s="42" t="str">
        <f t="shared" si="1"/>
        <v/>
      </c>
      <c r="G63" s="42"/>
      <c r="H63" s="42"/>
    </row>
    <row r="64" spans="1:8" x14ac:dyDescent="0.25">
      <c r="A64" s="42"/>
      <c r="B64" s="42"/>
      <c r="C64" s="42"/>
      <c r="D64" s="43"/>
      <c r="E64" s="43"/>
      <c r="F64" s="42" t="str">
        <f t="shared" si="1"/>
        <v/>
      </c>
      <c r="G64" s="42"/>
      <c r="H64" s="42"/>
    </row>
    <row r="65" spans="1:8" x14ac:dyDescent="0.25">
      <c r="A65" s="42"/>
      <c r="B65" s="42"/>
      <c r="C65" s="42"/>
      <c r="D65" s="43"/>
      <c r="E65" s="43"/>
      <c r="F65" s="42" t="str">
        <f t="shared" si="1"/>
        <v/>
      </c>
      <c r="G65" s="42"/>
      <c r="H65" s="42"/>
    </row>
    <row r="66" spans="1:8" x14ac:dyDescent="0.25">
      <c r="A66" s="42"/>
      <c r="B66" s="42"/>
      <c r="C66" s="42"/>
      <c r="D66" s="43"/>
      <c r="E66" s="43"/>
      <c r="F66" s="42" t="str">
        <f t="shared" si="1"/>
        <v/>
      </c>
      <c r="G66" s="42"/>
      <c r="H66" s="42"/>
    </row>
    <row r="67" spans="1:8" x14ac:dyDescent="0.25">
      <c r="A67" s="42"/>
      <c r="B67" s="42"/>
      <c r="C67" s="42"/>
      <c r="D67" s="43"/>
      <c r="E67" s="43"/>
      <c r="F67" s="42" t="str">
        <f t="shared" si="1"/>
        <v/>
      </c>
      <c r="G67" s="42"/>
      <c r="H67" s="42"/>
    </row>
    <row r="68" spans="1:8" x14ac:dyDescent="0.25">
      <c r="A68" s="42"/>
      <c r="B68" s="42"/>
      <c r="C68" s="42"/>
      <c r="D68" s="43"/>
      <c r="E68" s="43"/>
      <c r="F68" s="42" t="str">
        <f t="shared" si="1"/>
        <v/>
      </c>
      <c r="G68" s="42"/>
      <c r="H68" s="42"/>
    </row>
    <row r="69" spans="1:8" x14ac:dyDescent="0.25">
      <c r="A69" s="42"/>
      <c r="B69" s="42"/>
      <c r="C69" s="42"/>
      <c r="D69" s="43"/>
      <c r="E69" s="43"/>
      <c r="F69" s="42" t="str">
        <f t="shared" si="1"/>
        <v/>
      </c>
      <c r="G69" s="42"/>
      <c r="H69" s="42"/>
    </row>
    <row r="70" spans="1:8" x14ac:dyDescent="0.25">
      <c r="A70" s="42"/>
      <c r="B70" s="42"/>
      <c r="C70" s="42"/>
      <c r="D70" s="43"/>
      <c r="E70" s="43"/>
      <c r="F70" s="42" t="str">
        <f t="shared" ref="F70:F101" si="2">IF(D70="","",E70-D70+1)</f>
        <v/>
      </c>
      <c r="G70" s="42"/>
      <c r="H70" s="42"/>
    </row>
    <row r="71" spans="1:8" x14ac:dyDescent="0.25">
      <c r="A71" s="42"/>
      <c r="B71" s="42"/>
      <c r="C71" s="42"/>
      <c r="D71" s="43"/>
      <c r="E71" s="43"/>
      <c r="F71" s="42" t="str">
        <f t="shared" si="2"/>
        <v/>
      </c>
      <c r="G71" s="42"/>
      <c r="H71" s="42"/>
    </row>
    <row r="72" spans="1:8" x14ac:dyDescent="0.25">
      <c r="A72" s="42"/>
      <c r="B72" s="42"/>
      <c r="C72" s="42"/>
      <c r="D72" s="43"/>
      <c r="E72" s="43"/>
      <c r="F72" s="42" t="str">
        <f t="shared" si="2"/>
        <v/>
      </c>
      <c r="G72" s="42"/>
      <c r="H72" s="42"/>
    </row>
    <row r="73" spans="1:8" x14ac:dyDescent="0.25">
      <c r="A73" s="42"/>
      <c r="B73" s="42"/>
      <c r="C73" s="42"/>
      <c r="D73" s="43"/>
      <c r="E73" s="43"/>
      <c r="F73" s="42" t="str">
        <f t="shared" si="2"/>
        <v/>
      </c>
      <c r="G73" s="42"/>
      <c r="H73" s="42"/>
    </row>
    <row r="74" spans="1:8" x14ac:dyDescent="0.25">
      <c r="A74" s="42"/>
      <c r="B74" s="42"/>
      <c r="C74" s="42"/>
      <c r="D74" s="43"/>
      <c r="E74" s="43"/>
      <c r="F74" s="42" t="str">
        <f t="shared" si="2"/>
        <v/>
      </c>
      <c r="G74" s="42"/>
      <c r="H74" s="42"/>
    </row>
    <row r="75" spans="1:8" x14ac:dyDescent="0.25">
      <c r="A75" s="42"/>
      <c r="B75" s="42"/>
      <c r="C75" s="42"/>
      <c r="D75" s="43"/>
      <c r="E75" s="43"/>
      <c r="F75" s="42" t="str">
        <f t="shared" si="2"/>
        <v/>
      </c>
      <c r="G75" s="42"/>
      <c r="H75" s="42"/>
    </row>
    <row r="76" spans="1:8" x14ac:dyDescent="0.25">
      <c r="A76" s="42"/>
      <c r="B76" s="42"/>
      <c r="C76" s="42"/>
      <c r="D76" s="43"/>
      <c r="E76" s="43"/>
      <c r="F76" s="42" t="str">
        <f t="shared" si="2"/>
        <v/>
      </c>
      <c r="G76" s="42"/>
      <c r="H76" s="42"/>
    </row>
    <row r="77" spans="1:8" x14ac:dyDescent="0.25">
      <c r="A77" s="42"/>
      <c r="B77" s="42"/>
      <c r="C77" s="42"/>
      <c r="D77" s="43"/>
      <c r="E77" s="43"/>
      <c r="F77" s="42" t="str">
        <f t="shared" si="2"/>
        <v/>
      </c>
      <c r="G77" s="42"/>
      <c r="H77" s="42"/>
    </row>
    <row r="78" spans="1:8" x14ac:dyDescent="0.25">
      <c r="A78" s="42"/>
      <c r="B78" s="42"/>
      <c r="C78" s="42"/>
      <c r="D78" s="43"/>
      <c r="E78" s="43"/>
      <c r="F78" s="42" t="str">
        <f t="shared" si="2"/>
        <v/>
      </c>
      <c r="G78" s="42"/>
      <c r="H78" s="42"/>
    </row>
    <row r="79" spans="1:8" x14ac:dyDescent="0.25">
      <c r="A79" s="42"/>
      <c r="B79" s="42"/>
      <c r="C79" s="42"/>
      <c r="D79" s="43"/>
      <c r="E79" s="43"/>
      <c r="F79" s="42" t="str">
        <f t="shared" si="2"/>
        <v/>
      </c>
      <c r="G79" s="42"/>
      <c r="H79" s="42"/>
    </row>
    <row r="80" spans="1:8" x14ac:dyDescent="0.25">
      <c r="A80" s="42"/>
      <c r="B80" s="42"/>
      <c r="C80" s="42"/>
      <c r="D80" s="43"/>
      <c r="E80" s="43"/>
      <c r="F80" s="42" t="str">
        <f t="shared" si="2"/>
        <v/>
      </c>
      <c r="G80" s="42"/>
      <c r="H80" s="42"/>
    </row>
    <row r="81" spans="1:8" x14ac:dyDescent="0.25">
      <c r="A81" s="42"/>
      <c r="B81" s="42"/>
      <c r="C81" s="42"/>
      <c r="D81" s="43"/>
      <c r="E81" s="43"/>
      <c r="F81" s="42" t="str">
        <f t="shared" si="2"/>
        <v/>
      </c>
      <c r="G81" s="42"/>
      <c r="H81" s="42"/>
    </row>
    <row r="82" spans="1:8" x14ac:dyDescent="0.25">
      <c r="A82" s="42"/>
      <c r="B82" s="42"/>
      <c r="C82" s="42"/>
      <c r="D82" s="43"/>
      <c r="E82" s="43"/>
      <c r="F82" s="42" t="str">
        <f t="shared" si="2"/>
        <v/>
      </c>
      <c r="G82" s="42"/>
      <c r="H82" s="42"/>
    </row>
    <row r="83" spans="1:8" x14ac:dyDescent="0.25">
      <c r="A83" s="42"/>
      <c r="B83" s="42"/>
      <c r="C83" s="42"/>
      <c r="D83" s="43"/>
      <c r="E83" s="43"/>
      <c r="F83" s="42" t="str">
        <f t="shared" si="2"/>
        <v/>
      </c>
      <c r="G83" s="42"/>
      <c r="H83" s="42"/>
    </row>
    <row r="84" spans="1:8" x14ac:dyDescent="0.25">
      <c r="A84" s="42"/>
      <c r="B84" s="42"/>
      <c r="C84" s="42"/>
      <c r="D84" s="43"/>
      <c r="E84" s="43"/>
      <c r="F84" s="42" t="str">
        <f t="shared" si="2"/>
        <v/>
      </c>
      <c r="G84" s="42"/>
      <c r="H84" s="42"/>
    </row>
    <row r="85" spans="1:8" x14ac:dyDescent="0.25">
      <c r="A85" s="42"/>
      <c r="B85" s="42"/>
      <c r="C85" s="42"/>
      <c r="D85" s="43"/>
      <c r="E85" s="43"/>
      <c r="F85" s="42" t="str">
        <f t="shared" si="2"/>
        <v/>
      </c>
      <c r="G85" s="42"/>
      <c r="H85" s="42"/>
    </row>
    <row r="90" spans="1:8" x14ac:dyDescent="0.25">
      <c r="A90" s="33" t="s">
        <v>136</v>
      </c>
    </row>
    <row r="91" spans="1:8" x14ac:dyDescent="0.25">
      <c r="A91" s="34" t="s">
        <v>137</v>
      </c>
    </row>
  </sheetData>
  <conditionalFormatting sqref="H6:H85">
    <cfRule type="cellIs" dxfId="21" priority="2" operator="equal">
      <formula>"Genehmigt"</formula>
    </cfRule>
    <cfRule type="cellIs" dxfId="20" priority="3" operator="equal">
      <formula>"Beantragt"</formula>
    </cfRule>
    <cfRule type="cellIs" dxfId="19" priority="4" operator="equal">
      <formula>"Abgelehnt"</formula>
    </cfRule>
  </conditionalFormatting>
  <dataValidations count="2">
    <dataValidation type="list" allowBlank="1" errorTitle="Eingabefehler" error="Ungültige Auswahl" sqref="C6:C85">
      <formula1>"Urlaub,Krank,Fortbildung,Mutterschutz/Elternzeit,Sonderurlaub,Unbezahlter Urlaub"</formula1>
      <formula2>0</formula2>
    </dataValidation>
    <dataValidation type="list" allowBlank="1" errorTitle="Eingabefehler" error="Ungültige Auswahl" sqref="H6:H85">
      <formula1>"Genehmigt,Beantragt,Abgelehnt,—"</formula1>
      <formula2>0</formula2>
    </dataValidation>
  </dataValidations>
  <pageMargins left="0.4" right="0.4" top="0.5" bottom="0.5"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1"/>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2" customWidth="1"/>
    <col min="3" max="33" width="4.42578125" customWidth="1"/>
    <col min="34" max="34" width="8" customWidth="1"/>
    <col min="35" max="37" width="4" customWidth="1"/>
    <col min="38" max="39" width="6" customWidth="1"/>
    <col min="40" max="40" width="10" customWidth="1"/>
  </cols>
  <sheetData>
    <row r="1" spans="1:40" ht="37.5" customHeight="1" x14ac:dyDescent="0.25">
      <c r="A1" s="15" t="s">
        <v>0</v>
      </c>
      <c r="B1" s="16" t="s">
        <v>298</v>
      </c>
    </row>
    <row r="2" spans="1:40" ht="18" customHeight="1" x14ac:dyDescent="0.25">
      <c r="A2" s="17" t="s">
        <v>2</v>
      </c>
      <c r="B2" s="18" t="s">
        <v>299</v>
      </c>
    </row>
    <row r="3" spans="1:40"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40" x14ac:dyDescent="0.25">
      <c r="A4" s="54" t="s">
        <v>283</v>
      </c>
      <c r="B4" s="58">
        <f ca="1">DATE(YEAR(TODAY()),MONTH(TODAY()),1)</f>
        <v>46143</v>
      </c>
      <c r="D4" s="54" t="s">
        <v>300</v>
      </c>
      <c r="E4" s="59" t="s">
        <v>301</v>
      </c>
      <c r="G4" s="54" t="s">
        <v>302</v>
      </c>
      <c r="H4" s="60"/>
    </row>
    <row r="5" spans="1:40" ht="24"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c r="AH5" s="61" t="s">
        <v>303</v>
      </c>
      <c r="AI5" s="61" t="s">
        <v>100</v>
      </c>
      <c r="AJ5" s="61" t="s">
        <v>103</v>
      </c>
      <c r="AK5" s="61" t="s">
        <v>106</v>
      </c>
      <c r="AL5" s="61" t="s">
        <v>304</v>
      </c>
      <c r="AM5" s="61" t="s">
        <v>305</v>
      </c>
      <c r="AN5" s="61" t="s">
        <v>306</v>
      </c>
    </row>
    <row r="6" spans="1:40" ht="18" customHeight="1" x14ac:dyDescent="0.25">
      <c r="C6" s="62" t="str">
        <f t="shared" ref="C6:AG6" ca="1" si="0">IF(C5="","",TEXT(C5,"TTT"))</f>
        <v>Fr</v>
      </c>
      <c r="D6" s="62" t="str">
        <f t="shared" ca="1" si="0"/>
        <v>Sa</v>
      </c>
      <c r="E6" s="62" t="str">
        <f t="shared" ca="1" si="0"/>
        <v>So</v>
      </c>
      <c r="F6" s="62" t="str">
        <f t="shared" ca="1" si="0"/>
        <v>Mo</v>
      </c>
      <c r="G6" s="62" t="str">
        <f t="shared" ca="1" si="0"/>
        <v>Di</v>
      </c>
      <c r="H6" s="62" t="str">
        <f t="shared" ca="1" si="0"/>
        <v>Mi</v>
      </c>
      <c r="I6" s="62" t="str">
        <f t="shared" ca="1" si="0"/>
        <v>Do</v>
      </c>
      <c r="J6" s="62" t="str">
        <f t="shared" ca="1" si="0"/>
        <v>Fr</v>
      </c>
      <c r="K6" s="62" t="str">
        <f t="shared" ca="1" si="0"/>
        <v>Sa</v>
      </c>
      <c r="L6" s="62" t="str">
        <f t="shared" ca="1" si="0"/>
        <v>So</v>
      </c>
      <c r="M6" s="62" t="str">
        <f t="shared" ca="1" si="0"/>
        <v>Mo</v>
      </c>
      <c r="N6" s="62" t="str">
        <f t="shared" ca="1" si="0"/>
        <v>Di</v>
      </c>
      <c r="O6" s="62" t="str">
        <f t="shared" ca="1" si="0"/>
        <v>Mi</v>
      </c>
      <c r="P6" s="62" t="str">
        <f t="shared" ca="1" si="0"/>
        <v>Do</v>
      </c>
      <c r="Q6" s="62" t="str">
        <f t="shared" ca="1" si="0"/>
        <v>Fr</v>
      </c>
      <c r="R6" s="62" t="str">
        <f t="shared" ca="1" si="0"/>
        <v>Sa</v>
      </c>
      <c r="S6" s="62" t="str">
        <f t="shared" ca="1" si="0"/>
        <v>So</v>
      </c>
      <c r="T6" s="62" t="str">
        <f t="shared" ca="1" si="0"/>
        <v>Mo</v>
      </c>
      <c r="U6" s="62" t="str">
        <f t="shared" ca="1" si="0"/>
        <v>Di</v>
      </c>
      <c r="V6" s="62" t="str">
        <f t="shared" ca="1" si="0"/>
        <v>Mi</v>
      </c>
      <c r="W6" s="62" t="str">
        <f t="shared" ca="1" si="0"/>
        <v>Do</v>
      </c>
      <c r="X6" s="62" t="str">
        <f t="shared" ca="1" si="0"/>
        <v>Fr</v>
      </c>
      <c r="Y6" s="62" t="str">
        <f t="shared" ca="1" si="0"/>
        <v>Sa</v>
      </c>
      <c r="Z6" s="62" t="str">
        <f t="shared" ca="1" si="0"/>
        <v>So</v>
      </c>
      <c r="AA6" s="62" t="str">
        <f t="shared" ca="1" si="0"/>
        <v>Mo</v>
      </c>
      <c r="AB6" s="62" t="str">
        <f t="shared" ca="1" si="0"/>
        <v>Di</v>
      </c>
      <c r="AC6" s="62" t="str">
        <f t="shared" ca="1" si="0"/>
        <v>Mi</v>
      </c>
      <c r="AD6" s="62" t="str">
        <f t="shared" ca="1" si="0"/>
        <v>Do</v>
      </c>
      <c r="AE6" s="62" t="str">
        <f t="shared" ca="1" si="0"/>
        <v>Fr</v>
      </c>
      <c r="AF6" s="62" t="str">
        <f t="shared" ca="1" si="0"/>
        <v>Sa</v>
      </c>
      <c r="AG6" s="62" t="str">
        <f t="shared" ca="1" si="0"/>
        <v>So</v>
      </c>
      <c r="AH6" s="42"/>
      <c r="AI6" s="42"/>
      <c r="AJ6" s="42"/>
      <c r="AK6" s="42"/>
      <c r="AL6" s="42"/>
      <c r="AM6" s="42"/>
      <c r="AN6" s="42"/>
    </row>
    <row r="7" spans="1:40" x14ac:dyDescent="0.25">
      <c r="A7" s="47" t="str">
        <f>'👥 Mitarbeiter'!A7</f>
        <v>MA001</v>
      </c>
      <c r="B7" s="47" t="str">
        <f>'👥 Mitarbeiter'!B7&amp;" "&amp;'👥 Mitarbeiter'!C7</f>
        <v>Anna Beispiel</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30">
        <f t="shared" ref="AH7:AH16" si="1">COUNTIF(C7:AG7,"F")*8+COUNTIF(C7:AG7,"S")*8+COUNTIF(C7:AG7,"N")*8+COUNTIF(C7:AG7,"T")*8+COUNTIF(C7:AG7,"ZD")*8</f>
        <v>0</v>
      </c>
      <c r="AI7" s="64">
        <f t="shared" ref="AI7:AI16" si="2">COUNTIF(C7:AG7,"F")</f>
        <v>0</v>
      </c>
      <c r="AJ7" s="64">
        <f t="shared" ref="AJ7:AJ16" si="3">COUNTIF(C7:AG7,"S")</f>
        <v>0</v>
      </c>
      <c r="AK7" s="64">
        <f t="shared" ref="AK7:AK16" si="4">COUNTIF(C7:AG7,"N")</f>
        <v>0</v>
      </c>
      <c r="AL7" s="64">
        <f t="shared" ref="AL7:AL16" ca="1" si="5">SUMPRODUCT((C7:AG7&lt;&gt;"")*(C7:AG7&lt;&gt;"X")*(C7:AG7&lt;&gt;"U")*(C7:AG7&lt;&gt;"K")*(WEEKDAY(C$5:AG$5,2)=7))</f>
        <v>0</v>
      </c>
      <c r="AM7" s="64">
        <f t="shared" ref="AM7:AM16" si="6">COUNTIF(C7:AG7,"FT")</f>
        <v>0</v>
      </c>
      <c r="AN7" s="30" t="str">
        <f>IF(AH7=0,"⚪",IF(AH7&gt;INDEX('👥 Mitarbeiter'!H7:H106,1)*4.3*1.2,"🔴 ÜBER",IF(AH7&gt;INDEX('👥 Mitarbeiter'!H7:H106,1)*4.3*1.1,"🟠 hoch",IF(AH7&lt;INDEX('👥 Mitarbeiter'!H7:H106,1)*4.3*0.8,"🟡 unter","🟢 OK"))))</f>
        <v>⚪</v>
      </c>
    </row>
    <row r="8" spans="1:40" x14ac:dyDescent="0.25">
      <c r="A8" s="47" t="str">
        <f>'👥 Mitarbeiter'!A8</f>
        <v>MA002</v>
      </c>
      <c r="B8" s="47" t="str">
        <f>'👥 Mitarbeiter'!B8&amp;" "&amp;'👥 Mitarbeiter'!C8</f>
        <v>Bernd Muster</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30">
        <f t="shared" si="1"/>
        <v>0</v>
      </c>
      <c r="AI8" s="64">
        <f t="shared" si="2"/>
        <v>0</v>
      </c>
      <c r="AJ8" s="64">
        <f t="shared" si="3"/>
        <v>0</v>
      </c>
      <c r="AK8" s="64">
        <f t="shared" si="4"/>
        <v>0</v>
      </c>
      <c r="AL8" s="64">
        <f t="shared" ca="1" si="5"/>
        <v>0</v>
      </c>
      <c r="AM8" s="64">
        <f t="shared" si="6"/>
        <v>0</v>
      </c>
      <c r="AN8" s="30" t="str">
        <f>IF(AH8=0,"⚪",IF(AH8&gt;INDEX('👥 Mitarbeiter'!H7:H106,2)*4.3*1.2,"🔴 ÜBER",IF(AH8&gt;INDEX('👥 Mitarbeiter'!H7:H106,2)*4.3*1.1,"🟠 hoch",IF(AH8&lt;INDEX('👥 Mitarbeiter'!H7:H106,2)*4.3*0.8,"🟡 unter","🟢 OK"))))</f>
        <v>⚪</v>
      </c>
    </row>
    <row r="9" spans="1:40" x14ac:dyDescent="0.25">
      <c r="A9" s="47" t="str">
        <f>'👥 Mitarbeiter'!A9</f>
        <v>MA003</v>
      </c>
      <c r="B9" s="47" t="str">
        <f>'👥 Mitarbeiter'!B9&amp;" "&amp;'👥 Mitarbeiter'!C9</f>
        <v>Clara Demo</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30">
        <f t="shared" si="1"/>
        <v>0</v>
      </c>
      <c r="AI9" s="64">
        <f t="shared" si="2"/>
        <v>0</v>
      </c>
      <c r="AJ9" s="64">
        <f t="shared" si="3"/>
        <v>0</v>
      </c>
      <c r="AK9" s="64">
        <f t="shared" si="4"/>
        <v>0</v>
      </c>
      <c r="AL9" s="64">
        <f t="shared" ca="1" si="5"/>
        <v>0</v>
      </c>
      <c r="AM9" s="64">
        <f t="shared" si="6"/>
        <v>0</v>
      </c>
      <c r="AN9" s="30" t="str">
        <f>IF(AH9=0,"⚪",IF(AH9&gt;INDEX('👥 Mitarbeiter'!H7:H106,3)*4.3*1.2,"🔴 ÜBER",IF(AH9&gt;INDEX('👥 Mitarbeiter'!H7:H106,3)*4.3*1.1,"🟠 hoch",IF(AH9&lt;INDEX('👥 Mitarbeiter'!H7:H106,3)*4.3*0.8,"🟡 unter","🟢 OK"))))</f>
        <v>⚪</v>
      </c>
    </row>
    <row r="10" spans="1:40" x14ac:dyDescent="0.25">
      <c r="A10" s="47" t="str">
        <f>'👥 Mitarbeiter'!A10</f>
        <v>MA004</v>
      </c>
      <c r="B10" s="47" t="str">
        <f>'👥 Mitarbeiter'!B10&amp;" "&amp;'👥 Mitarbeiter'!C10</f>
        <v>David Test</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30">
        <f t="shared" si="1"/>
        <v>0</v>
      </c>
      <c r="AI10" s="64">
        <f t="shared" si="2"/>
        <v>0</v>
      </c>
      <c r="AJ10" s="64">
        <f t="shared" si="3"/>
        <v>0</v>
      </c>
      <c r="AK10" s="64">
        <f t="shared" si="4"/>
        <v>0</v>
      </c>
      <c r="AL10" s="64">
        <f t="shared" ca="1" si="5"/>
        <v>0</v>
      </c>
      <c r="AM10" s="64">
        <f t="shared" si="6"/>
        <v>0</v>
      </c>
      <c r="AN10" s="30" t="str">
        <f>IF(AH10=0,"⚪",IF(AH10&gt;INDEX('👥 Mitarbeiter'!H7:H106,4)*4.3*1.2,"🔴 ÜBER",IF(AH10&gt;INDEX('👥 Mitarbeiter'!H7:H106,4)*4.3*1.1,"🟠 hoch",IF(AH10&lt;INDEX('👥 Mitarbeiter'!H7:H106,4)*4.3*0.8,"🟡 unter","🟢 OK"))))</f>
        <v>⚪</v>
      </c>
    </row>
    <row r="11" spans="1:40" x14ac:dyDescent="0.25">
      <c r="A11" s="47" t="str">
        <f>'👥 Mitarbeiter'!A11</f>
        <v>MA005</v>
      </c>
      <c r="B11" s="47" t="str">
        <f>'👥 Mitarbeiter'!B11&amp;" "&amp;'👥 Mitarbeiter'!C11</f>
        <v>Eva Vorlage</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30">
        <f t="shared" si="1"/>
        <v>0</v>
      </c>
      <c r="AI11" s="64">
        <f t="shared" si="2"/>
        <v>0</v>
      </c>
      <c r="AJ11" s="64">
        <f t="shared" si="3"/>
        <v>0</v>
      </c>
      <c r="AK11" s="64">
        <f t="shared" si="4"/>
        <v>0</v>
      </c>
      <c r="AL11" s="64">
        <f t="shared" ca="1" si="5"/>
        <v>0</v>
      </c>
      <c r="AM11" s="64">
        <f t="shared" si="6"/>
        <v>0</v>
      </c>
      <c r="AN11" s="30" t="str">
        <f>IF(AH11=0,"⚪",IF(AH11&gt;INDEX('👥 Mitarbeiter'!H7:H106,5)*4.3*1.2,"🔴 ÜBER",IF(AH11&gt;INDEX('👥 Mitarbeiter'!H7:H106,5)*4.3*1.1,"🟠 hoch",IF(AH11&lt;INDEX('👥 Mitarbeiter'!H7:H106,5)*4.3*0.8,"🟡 unter","🟢 OK"))))</f>
        <v>⚪</v>
      </c>
    </row>
    <row r="12" spans="1:40" x14ac:dyDescent="0.25">
      <c r="A12" s="47" t="str">
        <f>'👥 Mitarbeiter'!A12</f>
        <v>MA006</v>
      </c>
      <c r="B12" s="47" t="str">
        <f>'👥 Mitarbeiter'!B12&amp;" "&amp;'👥 Mitarbeiter'!C12</f>
        <v>Frank Schicht</v>
      </c>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30">
        <f t="shared" si="1"/>
        <v>0</v>
      </c>
      <c r="AI12" s="64">
        <f t="shared" si="2"/>
        <v>0</v>
      </c>
      <c r="AJ12" s="64">
        <f t="shared" si="3"/>
        <v>0</v>
      </c>
      <c r="AK12" s="64">
        <f t="shared" si="4"/>
        <v>0</v>
      </c>
      <c r="AL12" s="64">
        <f t="shared" ca="1" si="5"/>
        <v>0</v>
      </c>
      <c r="AM12" s="64">
        <f t="shared" si="6"/>
        <v>0</v>
      </c>
      <c r="AN12" s="30" t="str">
        <f>IF(AH12=0,"⚪",IF(AH12&gt;INDEX('👥 Mitarbeiter'!H7:H106,6)*4.3*1.2,"🔴 ÜBER",IF(AH12&gt;INDEX('👥 Mitarbeiter'!H7:H106,6)*4.3*1.1,"🟠 hoch",IF(AH12&lt;INDEX('👥 Mitarbeiter'!H7:H106,6)*4.3*0.8,"🟡 unter","🟢 OK"))))</f>
        <v>⚪</v>
      </c>
    </row>
    <row r="13" spans="1:40" x14ac:dyDescent="0.25">
      <c r="A13" s="47" t="str">
        <f>'👥 Mitarbeiter'!A13</f>
        <v>MA007</v>
      </c>
      <c r="B13" s="47" t="str">
        <f>'👥 Mitarbeiter'!B13&amp;" "&amp;'👥 Mitarbeiter'!C13</f>
        <v>Greta Plan</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30">
        <f t="shared" si="1"/>
        <v>0</v>
      </c>
      <c r="AI13" s="64">
        <f t="shared" si="2"/>
        <v>0</v>
      </c>
      <c r="AJ13" s="64">
        <f t="shared" si="3"/>
        <v>0</v>
      </c>
      <c r="AK13" s="64">
        <f t="shared" si="4"/>
        <v>0</v>
      </c>
      <c r="AL13" s="64">
        <f t="shared" ca="1" si="5"/>
        <v>0</v>
      </c>
      <c r="AM13" s="64">
        <f t="shared" si="6"/>
        <v>0</v>
      </c>
      <c r="AN13" s="30" t="str">
        <f>IF(AH13=0,"⚪",IF(AH13&gt;INDEX('👥 Mitarbeiter'!H7:H106,7)*4.3*1.2,"🔴 ÜBER",IF(AH13&gt;INDEX('👥 Mitarbeiter'!H7:H106,7)*4.3*1.1,"🟠 hoch",IF(AH13&lt;INDEX('👥 Mitarbeiter'!H7:H106,7)*4.3*0.8,"🟡 unter","🟢 OK"))))</f>
        <v>⚪</v>
      </c>
    </row>
    <row r="14" spans="1:40" x14ac:dyDescent="0.25">
      <c r="A14" s="47" t="str">
        <f>'👥 Mitarbeiter'!A14</f>
        <v>MA008</v>
      </c>
      <c r="B14" s="47" t="str">
        <f>'👥 Mitarbeiter'!B14&amp;" "&amp;'👥 Mitarbeiter'!C14</f>
        <v>Hans Beispiel</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30">
        <f t="shared" si="1"/>
        <v>0</v>
      </c>
      <c r="AI14" s="64">
        <f t="shared" si="2"/>
        <v>0</v>
      </c>
      <c r="AJ14" s="64">
        <f t="shared" si="3"/>
        <v>0</v>
      </c>
      <c r="AK14" s="64">
        <f t="shared" si="4"/>
        <v>0</v>
      </c>
      <c r="AL14" s="64">
        <f t="shared" ca="1" si="5"/>
        <v>0</v>
      </c>
      <c r="AM14" s="64">
        <f t="shared" si="6"/>
        <v>0</v>
      </c>
      <c r="AN14" s="30" t="str">
        <f>IF(AH14=0,"⚪",IF(AH14&gt;INDEX('👥 Mitarbeiter'!H7:H106,8)*4.3*1.2,"🔴 ÜBER",IF(AH14&gt;INDEX('👥 Mitarbeiter'!H7:H106,8)*4.3*1.1,"🟠 hoch",IF(AH14&lt;INDEX('👥 Mitarbeiter'!H7:H106,8)*4.3*0.8,"🟡 unter","🟢 OK"))))</f>
        <v>⚪</v>
      </c>
    </row>
    <row r="15" spans="1:40" x14ac:dyDescent="0.25">
      <c r="A15" s="47" t="str">
        <f>'👥 Mitarbeiter'!A15</f>
        <v>MA009</v>
      </c>
      <c r="B15" s="47" t="str">
        <f>'👥 Mitarbeiter'!B15&amp;" "&amp;'👥 Mitarbeiter'!C15</f>
        <v>Ina Muster</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0">
        <f t="shared" si="1"/>
        <v>0</v>
      </c>
      <c r="AI15" s="64">
        <f t="shared" si="2"/>
        <v>0</v>
      </c>
      <c r="AJ15" s="64">
        <f t="shared" si="3"/>
        <v>0</v>
      </c>
      <c r="AK15" s="64">
        <f t="shared" si="4"/>
        <v>0</v>
      </c>
      <c r="AL15" s="64">
        <f t="shared" ca="1" si="5"/>
        <v>0</v>
      </c>
      <c r="AM15" s="64">
        <f t="shared" si="6"/>
        <v>0</v>
      </c>
      <c r="AN15" s="30" t="str">
        <f>IF(AH15=0,"⚪",IF(AH15&gt;INDEX('👥 Mitarbeiter'!H7:H106,9)*4.3*1.2,"🔴 ÜBER",IF(AH15&gt;INDEX('👥 Mitarbeiter'!H7:H106,9)*4.3*1.1,"🟠 hoch",IF(AH15&lt;INDEX('👥 Mitarbeiter'!H7:H106,9)*4.3*0.8,"🟡 unter","🟢 OK"))))</f>
        <v>⚪</v>
      </c>
    </row>
    <row r="16" spans="1:40" x14ac:dyDescent="0.25">
      <c r="A16" s="47" t="str">
        <f>'👥 Mitarbeiter'!A16</f>
        <v>MA010</v>
      </c>
      <c r="B16" s="47" t="str">
        <f>'👥 Mitarbeiter'!B16&amp;" "&amp;'👥 Mitarbeiter'!C16</f>
        <v>Jan Demo</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30">
        <f t="shared" si="1"/>
        <v>0</v>
      </c>
      <c r="AI16" s="64">
        <f t="shared" si="2"/>
        <v>0</v>
      </c>
      <c r="AJ16" s="64">
        <f t="shared" si="3"/>
        <v>0</v>
      </c>
      <c r="AK16" s="64">
        <f t="shared" si="4"/>
        <v>0</v>
      </c>
      <c r="AL16" s="64">
        <f t="shared" ca="1" si="5"/>
        <v>0</v>
      </c>
      <c r="AM16" s="64">
        <f t="shared" si="6"/>
        <v>0</v>
      </c>
      <c r="AN16" s="30" t="str">
        <f>IF(AH16=0,"⚪",IF(AH16&gt;INDEX('👥 Mitarbeiter'!H7:H106,10)*4.3*1.2,"🔴 ÜBER",IF(AH16&gt;INDEX('👥 Mitarbeiter'!H7:H106,10)*4.3*1.1,"🟠 hoch",IF(AH16&lt;INDEX('👥 Mitarbeiter'!H7:H106,10)*4.3*0.8,"🟡 unter","🟢 OK"))))</f>
        <v>⚪</v>
      </c>
    </row>
    <row r="17" spans="1:33" x14ac:dyDescent="0.25">
      <c r="B17" s="65" t="s">
        <v>307</v>
      </c>
      <c r="C17" s="66">
        <f t="shared" ref="C17:AG17" si="7">COUNTIF(C7:C16,"F")</f>
        <v>0</v>
      </c>
      <c r="D17" s="66">
        <f t="shared" si="7"/>
        <v>0</v>
      </c>
      <c r="E17" s="66">
        <f t="shared" si="7"/>
        <v>0</v>
      </c>
      <c r="F17" s="66">
        <f t="shared" si="7"/>
        <v>0</v>
      </c>
      <c r="G17" s="66">
        <f t="shared" si="7"/>
        <v>0</v>
      </c>
      <c r="H17" s="66">
        <f t="shared" si="7"/>
        <v>0</v>
      </c>
      <c r="I17" s="66">
        <f t="shared" si="7"/>
        <v>0</v>
      </c>
      <c r="J17" s="66">
        <f t="shared" si="7"/>
        <v>0</v>
      </c>
      <c r="K17" s="66">
        <f t="shared" si="7"/>
        <v>0</v>
      </c>
      <c r="L17" s="66">
        <f t="shared" si="7"/>
        <v>0</v>
      </c>
      <c r="M17" s="66">
        <f t="shared" si="7"/>
        <v>0</v>
      </c>
      <c r="N17" s="66">
        <f t="shared" si="7"/>
        <v>0</v>
      </c>
      <c r="O17" s="66">
        <f t="shared" si="7"/>
        <v>0</v>
      </c>
      <c r="P17" s="66">
        <f t="shared" si="7"/>
        <v>0</v>
      </c>
      <c r="Q17" s="66">
        <f t="shared" si="7"/>
        <v>0</v>
      </c>
      <c r="R17" s="66">
        <f t="shared" si="7"/>
        <v>0</v>
      </c>
      <c r="S17" s="66">
        <f t="shared" si="7"/>
        <v>0</v>
      </c>
      <c r="T17" s="66">
        <f t="shared" si="7"/>
        <v>0</v>
      </c>
      <c r="U17" s="66">
        <f t="shared" si="7"/>
        <v>0</v>
      </c>
      <c r="V17" s="66">
        <f t="shared" si="7"/>
        <v>0</v>
      </c>
      <c r="W17" s="66">
        <f t="shared" si="7"/>
        <v>0</v>
      </c>
      <c r="X17" s="66">
        <f t="shared" si="7"/>
        <v>0</v>
      </c>
      <c r="Y17" s="66">
        <f t="shared" si="7"/>
        <v>0</v>
      </c>
      <c r="Z17" s="66">
        <f t="shared" si="7"/>
        <v>0</v>
      </c>
      <c r="AA17" s="66">
        <f t="shared" si="7"/>
        <v>0</v>
      </c>
      <c r="AB17" s="66">
        <f t="shared" si="7"/>
        <v>0</v>
      </c>
      <c r="AC17" s="66">
        <f t="shared" si="7"/>
        <v>0</v>
      </c>
      <c r="AD17" s="66">
        <f t="shared" si="7"/>
        <v>0</v>
      </c>
      <c r="AE17" s="66">
        <f t="shared" si="7"/>
        <v>0</v>
      </c>
      <c r="AF17" s="66">
        <f t="shared" si="7"/>
        <v>0</v>
      </c>
      <c r="AG17" s="66">
        <f t="shared" si="7"/>
        <v>0</v>
      </c>
    </row>
    <row r="18" spans="1:33" x14ac:dyDescent="0.25">
      <c r="B18" s="65" t="s">
        <v>308</v>
      </c>
      <c r="C18" s="66">
        <f t="shared" ref="C18:AG18" si="8">COUNTIF(C7:C16,"S")</f>
        <v>0</v>
      </c>
      <c r="D18" s="66">
        <f t="shared" si="8"/>
        <v>0</v>
      </c>
      <c r="E18" s="66">
        <f t="shared" si="8"/>
        <v>0</v>
      </c>
      <c r="F18" s="66">
        <f t="shared" si="8"/>
        <v>0</v>
      </c>
      <c r="G18" s="66">
        <f t="shared" si="8"/>
        <v>0</v>
      </c>
      <c r="H18" s="66">
        <f t="shared" si="8"/>
        <v>0</v>
      </c>
      <c r="I18" s="66">
        <f t="shared" si="8"/>
        <v>0</v>
      </c>
      <c r="J18" s="66">
        <f t="shared" si="8"/>
        <v>0</v>
      </c>
      <c r="K18" s="66">
        <f t="shared" si="8"/>
        <v>0</v>
      </c>
      <c r="L18" s="66">
        <f t="shared" si="8"/>
        <v>0</v>
      </c>
      <c r="M18" s="66">
        <f t="shared" si="8"/>
        <v>0</v>
      </c>
      <c r="N18" s="66">
        <f t="shared" si="8"/>
        <v>0</v>
      </c>
      <c r="O18" s="66">
        <f t="shared" si="8"/>
        <v>0</v>
      </c>
      <c r="P18" s="66">
        <f t="shared" si="8"/>
        <v>0</v>
      </c>
      <c r="Q18" s="66">
        <f t="shared" si="8"/>
        <v>0</v>
      </c>
      <c r="R18" s="66">
        <f t="shared" si="8"/>
        <v>0</v>
      </c>
      <c r="S18" s="66">
        <f t="shared" si="8"/>
        <v>0</v>
      </c>
      <c r="T18" s="66">
        <f t="shared" si="8"/>
        <v>0</v>
      </c>
      <c r="U18" s="66">
        <f t="shared" si="8"/>
        <v>0</v>
      </c>
      <c r="V18" s="66">
        <f t="shared" si="8"/>
        <v>0</v>
      </c>
      <c r="W18" s="66">
        <f t="shared" si="8"/>
        <v>0</v>
      </c>
      <c r="X18" s="66">
        <f t="shared" si="8"/>
        <v>0</v>
      </c>
      <c r="Y18" s="66">
        <f t="shared" si="8"/>
        <v>0</v>
      </c>
      <c r="Z18" s="66">
        <f t="shared" si="8"/>
        <v>0</v>
      </c>
      <c r="AA18" s="66">
        <f t="shared" si="8"/>
        <v>0</v>
      </c>
      <c r="AB18" s="66">
        <f t="shared" si="8"/>
        <v>0</v>
      </c>
      <c r="AC18" s="66">
        <f t="shared" si="8"/>
        <v>0</v>
      </c>
      <c r="AD18" s="66">
        <f t="shared" si="8"/>
        <v>0</v>
      </c>
      <c r="AE18" s="66">
        <f t="shared" si="8"/>
        <v>0</v>
      </c>
      <c r="AF18" s="66">
        <f t="shared" si="8"/>
        <v>0</v>
      </c>
      <c r="AG18" s="66">
        <f t="shared" si="8"/>
        <v>0</v>
      </c>
    </row>
    <row r="19" spans="1:33" x14ac:dyDescent="0.25">
      <c r="B19" s="65" t="s">
        <v>309</v>
      </c>
      <c r="C19" s="66">
        <f t="shared" ref="C19:AG19" si="9">COUNTIF(C7:C16,"N")</f>
        <v>0</v>
      </c>
      <c r="D19" s="66">
        <f t="shared" si="9"/>
        <v>0</v>
      </c>
      <c r="E19" s="66">
        <f t="shared" si="9"/>
        <v>0</v>
      </c>
      <c r="F19" s="66">
        <f t="shared" si="9"/>
        <v>0</v>
      </c>
      <c r="G19" s="66">
        <f t="shared" si="9"/>
        <v>0</v>
      </c>
      <c r="H19" s="66">
        <f t="shared" si="9"/>
        <v>0</v>
      </c>
      <c r="I19" s="66">
        <f t="shared" si="9"/>
        <v>0</v>
      </c>
      <c r="J19" s="66">
        <f t="shared" si="9"/>
        <v>0</v>
      </c>
      <c r="K19" s="66">
        <f t="shared" si="9"/>
        <v>0</v>
      </c>
      <c r="L19" s="66">
        <f t="shared" si="9"/>
        <v>0</v>
      </c>
      <c r="M19" s="66">
        <f t="shared" si="9"/>
        <v>0</v>
      </c>
      <c r="N19" s="66">
        <f t="shared" si="9"/>
        <v>0</v>
      </c>
      <c r="O19" s="66">
        <f t="shared" si="9"/>
        <v>0</v>
      </c>
      <c r="P19" s="66">
        <f t="shared" si="9"/>
        <v>0</v>
      </c>
      <c r="Q19" s="66">
        <f t="shared" si="9"/>
        <v>0</v>
      </c>
      <c r="R19" s="66">
        <f t="shared" si="9"/>
        <v>0</v>
      </c>
      <c r="S19" s="66">
        <f t="shared" si="9"/>
        <v>0</v>
      </c>
      <c r="T19" s="66">
        <f t="shared" si="9"/>
        <v>0</v>
      </c>
      <c r="U19" s="66">
        <f t="shared" si="9"/>
        <v>0</v>
      </c>
      <c r="V19" s="66">
        <f t="shared" si="9"/>
        <v>0</v>
      </c>
      <c r="W19" s="66">
        <f t="shared" si="9"/>
        <v>0</v>
      </c>
      <c r="X19" s="66">
        <f t="shared" si="9"/>
        <v>0</v>
      </c>
      <c r="Y19" s="66">
        <f t="shared" si="9"/>
        <v>0</v>
      </c>
      <c r="Z19" s="66">
        <f t="shared" si="9"/>
        <v>0</v>
      </c>
      <c r="AA19" s="66">
        <f t="shared" si="9"/>
        <v>0</v>
      </c>
      <c r="AB19" s="66">
        <f t="shared" si="9"/>
        <v>0</v>
      </c>
      <c r="AC19" s="66">
        <f t="shared" si="9"/>
        <v>0</v>
      </c>
      <c r="AD19" s="66">
        <f t="shared" si="9"/>
        <v>0</v>
      </c>
      <c r="AE19" s="66">
        <f t="shared" si="9"/>
        <v>0</v>
      </c>
      <c r="AF19" s="66">
        <f t="shared" si="9"/>
        <v>0</v>
      </c>
      <c r="AG19" s="66">
        <f t="shared" si="9"/>
        <v>0</v>
      </c>
    </row>
    <row r="20" spans="1:33" x14ac:dyDescent="0.25">
      <c r="B20" s="65" t="s">
        <v>310</v>
      </c>
      <c r="C20" s="66" t="str">
        <f t="shared" ref="C20:AG20" si="10">IF(AND(C17&gt;=2,C18&gt;=2),"✅","❌")</f>
        <v>❌</v>
      </c>
      <c r="D20" s="66" t="str">
        <f t="shared" si="10"/>
        <v>❌</v>
      </c>
      <c r="E20" s="66" t="str">
        <f t="shared" si="10"/>
        <v>❌</v>
      </c>
      <c r="F20" s="66" t="str">
        <f t="shared" si="10"/>
        <v>❌</v>
      </c>
      <c r="G20" s="66" t="str">
        <f t="shared" si="10"/>
        <v>❌</v>
      </c>
      <c r="H20" s="66" t="str">
        <f t="shared" si="10"/>
        <v>❌</v>
      </c>
      <c r="I20" s="66" t="str">
        <f t="shared" si="10"/>
        <v>❌</v>
      </c>
      <c r="J20" s="66" t="str">
        <f t="shared" si="10"/>
        <v>❌</v>
      </c>
      <c r="K20" s="66" t="str">
        <f t="shared" si="10"/>
        <v>❌</v>
      </c>
      <c r="L20" s="66" t="str">
        <f t="shared" si="10"/>
        <v>❌</v>
      </c>
      <c r="M20" s="66" t="str">
        <f t="shared" si="10"/>
        <v>❌</v>
      </c>
      <c r="N20" s="66" t="str">
        <f t="shared" si="10"/>
        <v>❌</v>
      </c>
      <c r="O20" s="66" t="str">
        <f t="shared" si="10"/>
        <v>❌</v>
      </c>
      <c r="P20" s="66" t="str">
        <f t="shared" si="10"/>
        <v>❌</v>
      </c>
      <c r="Q20" s="66" t="str">
        <f t="shared" si="10"/>
        <v>❌</v>
      </c>
      <c r="R20" s="66" t="str">
        <f t="shared" si="10"/>
        <v>❌</v>
      </c>
      <c r="S20" s="66" t="str">
        <f t="shared" si="10"/>
        <v>❌</v>
      </c>
      <c r="T20" s="66" t="str">
        <f t="shared" si="10"/>
        <v>❌</v>
      </c>
      <c r="U20" s="66" t="str">
        <f t="shared" si="10"/>
        <v>❌</v>
      </c>
      <c r="V20" s="66" t="str">
        <f t="shared" si="10"/>
        <v>❌</v>
      </c>
      <c r="W20" s="66" t="str">
        <f t="shared" si="10"/>
        <v>❌</v>
      </c>
      <c r="X20" s="66" t="str">
        <f t="shared" si="10"/>
        <v>❌</v>
      </c>
      <c r="Y20" s="66" t="str">
        <f t="shared" si="10"/>
        <v>❌</v>
      </c>
      <c r="Z20" s="66" t="str">
        <f t="shared" si="10"/>
        <v>❌</v>
      </c>
      <c r="AA20" s="66" t="str">
        <f t="shared" si="10"/>
        <v>❌</v>
      </c>
      <c r="AB20" s="66" t="str">
        <f t="shared" si="10"/>
        <v>❌</v>
      </c>
      <c r="AC20" s="66" t="str">
        <f t="shared" si="10"/>
        <v>❌</v>
      </c>
      <c r="AD20" s="66" t="str">
        <f t="shared" si="10"/>
        <v>❌</v>
      </c>
      <c r="AE20" s="66" t="str">
        <f t="shared" si="10"/>
        <v>❌</v>
      </c>
      <c r="AF20" s="66" t="str">
        <f t="shared" si="10"/>
        <v>❌</v>
      </c>
      <c r="AG20" s="66" t="str">
        <f t="shared" si="10"/>
        <v>❌</v>
      </c>
    </row>
    <row r="22" spans="1:33" ht="15" customHeight="1" x14ac:dyDescent="0.25">
      <c r="A22" s="112" t="s">
        <v>311</v>
      </c>
      <c r="B22" s="112"/>
      <c r="C22" s="112"/>
      <c r="D22" s="112"/>
      <c r="E22" s="112"/>
      <c r="F22" s="112"/>
      <c r="G22" s="112"/>
      <c r="H22" s="112"/>
      <c r="I22" s="112"/>
      <c r="J22" s="112"/>
      <c r="K22" s="112"/>
      <c r="L22" s="112"/>
    </row>
    <row r="23" spans="1:33" ht="37.5" customHeight="1" x14ac:dyDescent="0.25">
      <c r="A23" s="113" t="s">
        <v>312</v>
      </c>
      <c r="B23" s="113"/>
      <c r="C23" s="113"/>
      <c r="D23" s="113"/>
      <c r="E23" s="113"/>
      <c r="F23" s="113"/>
      <c r="G23" s="113"/>
      <c r="H23" s="113"/>
      <c r="I23" s="113"/>
      <c r="J23" s="113"/>
      <c r="K23" s="113"/>
      <c r="L23" s="113"/>
    </row>
    <row r="30" spans="1:33" x14ac:dyDescent="0.25">
      <c r="A30" s="33" t="s">
        <v>136</v>
      </c>
    </row>
    <row r="31" spans="1:33" x14ac:dyDescent="0.25">
      <c r="A31" s="34" t="s">
        <v>137</v>
      </c>
    </row>
  </sheetData>
  <mergeCells count="2">
    <mergeCell ref="A22:L22"/>
    <mergeCell ref="A23:L23"/>
  </mergeCells>
  <dataValidations count="2">
    <dataValidation type="list" allowBlank="1" errorTitle="Eingabefehler" error="Ungültige Auswahl" sqref="E4">
      <formula1>"Entwurf,Vorgelegt BR,Zugestimmt BR,Einigungsstelle"</formula1>
      <formula2>0</formula2>
    </dataValidation>
    <dataValidation type="list" allowBlank="1" showInputMessage="1" errorTitle="Eingabefehler" error="Ungültige Auswahl" promptTitle="Schicht eintragen" prompt="Wählen Sie einen Schicht-Code (siehe Einstellungen für Bedeutung)." sqref="C7:AG16">
      <formula1>"F,S,N,T,ZD,BD,RB,U,K,FT,FZ,FB,ME,ON,X"</formula1>
      <formula2>0</formula2>
    </dataValidation>
  </dataValidations>
  <pageMargins left="0.4" right="0.4" top="0.5" bottom="0.5" header="0.511811023622047" footer="0.511811023622047"/>
  <pageSetup paperSize="8"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7</vt:i4>
      </vt:variant>
    </vt:vector>
  </HeadingPairs>
  <TitlesOfParts>
    <vt:vector size="28" baseType="lpstr">
      <vt:lpstr>🏠 Start</vt:lpstr>
      <vt:lpstr>⚙️ Einstellungen</vt:lpstr>
      <vt:lpstr>👥 Mitarbeiter</vt:lpstr>
      <vt:lpstr>🎓 Skills</vt:lpstr>
      <vt:lpstr>🚗 Ressourcen</vt:lpstr>
      <vt:lpstr>📅 Feiertage</vt:lpstr>
      <vt:lpstr>📝 Wünsche</vt:lpstr>
      <vt:lpstr>🚫 Abwesenheiten</vt:lpstr>
      <vt:lpstr>📋 Plan Monat</vt:lpstr>
      <vt:lpstr>🔄 Plan Woche</vt:lpstr>
      <vt:lpstr>✅ Compliance</vt:lpstr>
      <vt:lpstr>🏥 Stationen</vt:lpstr>
      <vt:lpstr>🔢 PpUGV Live-Check</vt:lpstr>
      <vt:lpstr>📐 PPBV (PPR 2.0)</vt:lpstr>
      <vt:lpstr>💉 Bereitschaft</vt:lpstr>
      <vt:lpstr>💶 TVöD-P Zulagen</vt:lpstr>
      <vt:lpstr>🩺 Med. Untersuchung</vt:lpstr>
      <vt:lpstr>📊 KPI</vt:lpstr>
      <vt:lpstr>💰 Kosten</vt:lpstr>
      <vt:lpstr>📄 Aushang</vt:lpstr>
      <vt:lpstr>🕒 Audit-Trail</vt:lpstr>
      <vt:lpstr>'📄 Aushang'!Drucktitel</vt:lpstr>
      <vt:lpstr>Feiertage_Liste</vt:lpstr>
      <vt:lpstr>MA_Liste</vt:lpstr>
      <vt:lpstr>MA_Namen</vt:lpstr>
      <vt:lpstr>Plan_Bereich</vt:lpstr>
      <vt:lpstr>Schicht_Codes</vt:lpstr>
      <vt:lpstr>Stationen_Lookup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Boss</cp:lastModifiedBy>
  <cp:revision>0</cp:revision>
  <dcterms:created xsi:type="dcterms:W3CDTF">2026-05-06T06:55:42Z</dcterms:created>
  <dcterms:modified xsi:type="dcterms:W3CDTF">2026-05-06T07:13:22Z</dcterms:modified>
  <dc:language>en-US</dc:language>
</cp:coreProperties>
</file>